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0490" windowHeight="7755" tabRatio="909" activeTab="4"/>
  </bookViews>
  <sheets>
    <sheet name="Investice a úspory" sheetId="19" r:id="rId1"/>
    <sheet name="Modelová nabídka" sheetId="20" r:id="rId2"/>
    <sheet name="Cenová příloha" sheetId="21" r:id="rId3"/>
    <sheet name="Hodnocení nabídek" sheetId="22" r:id="rId4"/>
    <sheet name="REFERENČNÍ ÚDAJE" sheetId="17" r:id="rId5"/>
    <sheet name="ZŠ Masarykova" sheetId="62" r:id="rId6"/>
    <sheet name="MŠ, ZUŠ a ZŠ čp. 17" sheetId="63" r:id="rId7"/>
    <sheet name="Sportovní hala" sheetId="64" r:id="rId8"/>
    <sheet name="Veřejné osvětlení" sheetId="65" r:id="rId9"/>
  </sheets>
  <definedNames/>
  <calcPr calcId="162913"/>
</workbook>
</file>

<file path=xl/comments6.xml><?xml version="1.0" encoding="utf-8"?>
<comments xmlns="http://schemas.openxmlformats.org/spreadsheetml/2006/main">
  <authors>
    <author>Jitka Mazurková</author>
    <author>Jiří Mazáček</author>
    <author>Tarkova Anastasia</author>
  </authors>
  <commentList>
    <comment ref="L5" authorId="0">
      <text>
        <r>
          <rPr>
            <b/>
            <sz val="9"/>
            <rFont val="Tahoma"/>
            <family val="2"/>
          </rPr>
          <t>rozdíl plynoměr * objemový koeficient</t>
        </r>
      </text>
    </comment>
    <comment ref="T5" authorId="0">
      <text>
        <r>
          <rPr>
            <b/>
            <sz val="9"/>
            <rFont val="Tahoma"/>
            <family val="2"/>
          </rPr>
          <t>základ daně</t>
        </r>
      </text>
    </comment>
    <comment ref="U5" authorId="0">
      <text>
        <r>
          <rPr>
            <b/>
            <sz val="9"/>
            <rFont val="Tahoma"/>
            <family val="2"/>
          </rPr>
          <t>základ daně</t>
        </r>
      </text>
    </comment>
    <comment ref="Z5" authorId="0">
      <text>
        <r>
          <rPr>
            <b/>
            <sz val="9"/>
            <rFont val="Tahoma"/>
            <family val="2"/>
          </rPr>
          <t>základ daně</t>
        </r>
      </text>
    </comment>
    <comment ref="AA5" authorId="0">
      <text>
        <r>
          <rPr>
            <b/>
            <sz val="9"/>
            <rFont val="Tahoma"/>
            <family val="2"/>
          </rPr>
          <t>základ daně</t>
        </r>
      </text>
    </comment>
    <comment ref="AF5" authorId="0">
      <text>
        <r>
          <rPr>
            <b/>
            <sz val="9"/>
            <rFont val="Tahoma"/>
            <family val="2"/>
          </rPr>
          <t>základ daně</t>
        </r>
      </text>
    </comment>
    <comment ref="AG5" authorId="0">
      <text>
        <r>
          <rPr>
            <b/>
            <sz val="9"/>
            <rFont val="Tahoma"/>
            <family val="2"/>
          </rPr>
          <t>základ daně</t>
        </r>
      </text>
    </comment>
    <comment ref="AL5" authorId="0">
      <text>
        <r>
          <rPr>
            <b/>
            <sz val="9"/>
            <rFont val="Tahoma"/>
            <family val="2"/>
          </rPr>
          <t>základ daně</t>
        </r>
      </text>
    </comment>
    <comment ref="AM5" authorId="0">
      <text>
        <r>
          <rPr>
            <b/>
            <sz val="9"/>
            <rFont val="Tahoma"/>
            <family val="2"/>
          </rPr>
          <t>základ daně</t>
        </r>
      </text>
    </comment>
    <comment ref="AR5" authorId="0">
      <text>
        <r>
          <rPr>
            <b/>
            <sz val="9"/>
            <rFont val="Tahoma"/>
            <family val="2"/>
          </rPr>
          <t>základ daně</t>
        </r>
      </text>
    </comment>
    <comment ref="AS5" authorId="0">
      <text>
        <r>
          <rPr>
            <b/>
            <sz val="9"/>
            <rFont val="Tahoma"/>
            <family val="2"/>
          </rPr>
          <t>základ daně</t>
        </r>
      </text>
    </comment>
    <comment ref="AX5" authorId="0">
      <text>
        <r>
          <rPr>
            <b/>
            <sz val="9"/>
            <rFont val="Tahoma"/>
            <family val="2"/>
          </rPr>
          <t>základ daně</t>
        </r>
      </text>
    </comment>
    <comment ref="AY5" authorId="0">
      <text>
        <r>
          <rPr>
            <b/>
            <sz val="9"/>
            <rFont val="Tahoma"/>
            <family val="2"/>
          </rPr>
          <t>základ daně</t>
        </r>
      </text>
    </comment>
    <comment ref="BD5" authorId="0">
      <text>
        <r>
          <rPr>
            <b/>
            <sz val="9"/>
            <rFont val="Tahoma"/>
            <family val="2"/>
          </rPr>
          <t>základ daně</t>
        </r>
      </text>
    </comment>
    <comment ref="BE5" authorId="0">
      <text>
        <r>
          <rPr>
            <b/>
            <sz val="9"/>
            <rFont val="Tahoma"/>
            <family val="2"/>
          </rPr>
          <t>základ daně</t>
        </r>
      </text>
    </comment>
    <comment ref="BJ5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nezahrnovat srážkovou vodu</t>
        </r>
      </text>
    </comment>
    <comment ref="BG17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5.11.2016-31.12.2016</t>
        </r>
      </text>
    </comment>
    <comment ref="Q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W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AC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AI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AO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AU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BA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1.1.2017-10.5.2017</t>
        </r>
      </text>
    </comment>
    <comment ref="BG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1.1.2017-11.11.2017</t>
        </r>
      </text>
    </comment>
    <comment ref="BL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stocne 506 m3</t>
        </r>
      </text>
    </comment>
    <comment ref="Q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W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AC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AI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AO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AU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BA25" authorId="1">
      <text>
        <r>
          <rPr>
            <sz val="9"/>
            <rFont val="Tahoma"/>
            <family val="2"/>
          </rPr>
          <t>Anastasia Tarkova
11. 5. 2017 - 31. 12. 2017</t>
        </r>
      </text>
    </comment>
    <comment ref="BG3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12.11.2017-31.12.2017</t>
        </r>
      </text>
    </comment>
    <comment ref="Q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W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AC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AI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AO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AU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BA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1.1.2018-11.5.2018</t>
        </r>
      </text>
    </comment>
    <comment ref="BG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1.1.2018-28.11.2018</t>
        </r>
      </text>
    </comment>
    <comment ref="BL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stocne 506 m3</t>
        </r>
      </text>
    </comment>
    <comment ref="Q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12.5.2018-25.7.2018</t>
        </r>
      </text>
    </comment>
    <comment ref="W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AC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AI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AO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AU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BA3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12. 5. 2018 - 31. 12. 2018</t>
        </r>
      </text>
    </comment>
    <comment ref="Q42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26.7.2018 - 31.12.2018</t>
        </r>
      </text>
    </comment>
    <comment ref="BG4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29.11.2018-31.12.2018</t>
        </r>
      </text>
    </comment>
    <comment ref="Q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W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AC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AI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AO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AU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BA49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1.1.2019 - 9. 5. 2019</t>
        </r>
      </text>
    </comment>
    <comment ref="BG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1.1.2019-26.5.2019
</t>
        </r>
      </text>
    </comment>
    <comment ref="BL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1.1.2019-26.5.2019
stocne 202,4 m3</t>
        </r>
      </text>
    </comment>
    <comment ref="Q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W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AC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AI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AO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AU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BA53" authorId="1">
      <text>
        <r>
          <rPr>
            <sz val="9"/>
            <rFont val="Tahoma"/>
            <family val="2"/>
          </rPr>
          <t>Anastasia Tarkova
10. 5. 2019 - 31. 12. 2019</t>
        </r>
      </text>
    </comment>
    <comment ref="BG54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27.5.2019-11.11.2019
</t>
        </r>
      </text>
    </comment>
    <comment ref="BL54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27.5.2019-11.11.2019
stocne 258,825 m3</t>
        </r>
      </text>
    </comment>
    <comment ref="Q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  <comment ref="W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1.1.2020-11.5.2020</t>
        </r>
      </text>
    </comment>
    <comment ref="AC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  <comment ref="AI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  <comment ref="AO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  <comment ref="AU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  <comment ref="BA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</t>
        </r>
      </text>
    </comment>
  </commentList>
</comments>
</file>

<file path=xl/comments7.xml><?xml version="1.0" encoding="utf-8"?>
<comments xmlns="http://schemas.openxmlformats.org/spreadsheetml/2006/main">
  <authors>
    <author>Jitka Mazurková</author>
    <author>Jiří Mazáček</author>
    <author>Tarkova Anastasia</author>
  </authors>
  <commentList>
    <comment ref="L5" authorId="0">
      <text>
        <r>
          <rPr>
            <b/>
            <sz val="9"/>
            <rFont val="Tahoma"/>
            <family val="2"/>
          </rPr>
          <t>rozdíl plynoměr * objemový koeficient</t>
        </r>
      </text>
    </comment>
    <comment ref="T5" authorId="0">
      <text>
        <r>
          <rPr>
            <b/>
            <sz val="9"/>
            <rFont val="Tahoma"/>
            <family val="2"/>
          </rPr>
          <t>základ daně</t>
        </r>
      </text>
    </comment>
    <comment ref="U5" authorId="0">
      <text>
        <r>
          <rPr>
            <b/>
            <sz val="9"/>
            <rFont val="Tahoma"/>
            <family val="2"/>
          </rPr>
          <t>základ daně</t>
        </r>
      </text>
    </comment>
    <comment ref="Z5" authorId="0">
      <text>
        <r>
          <rPr>
            <b/>
            <sz val="9"/>
            <rFont val="Tahoma"/>
            <family val="2"/>
          </rPr>
          <t>základ daně</t>
        </r>
      </text>
    </comment>
    <comment ref="AA5" authorId="0">
      <text>
        <r>
          <rPr>
            <b/>
            <sz val="9"/>
            <rFont val="Tahoma"/>
            <family val="2"/>
          </rPr>
          <t>základ daně</t>
        </r>
      </text>
    </comment>
    <comment ref="AF5" authorId="0">
      <text>
        <r>
          <rPr>
            <b/>
            <sz val="9"/>
            <rFont val="Tahoma"/>
            <family val="2"/>
          </rPr>
          <t>základ daně</t>
        </r>
      </text>
    </comment>
    <comment ref="AG5" authorId="0">
      <text>
        <r>
          <rPr>
            <b/>
            <sz val="9"/>
            <rFont val="Tahoma"/>
            <family val="2"/>
          </rPr>
          <t>základ daně</t>
        </r>
      </text>
    </comment>
    <comment ref="AL5" authorId="0">
      <text>
        <r>
          <rPr>
            <b/>
            <sz val="9"/>
            <rFont val="Tahoma"/>
            <family val="2"/>
          </rPr>
          <t>základ daně</t>
        </r>
      </text>
    </comment>
    <comment ref="AM5" authorId="0">
      <text>
        <r>
          <rPr>
            <b/>
            <sz val="9"/>
            <rFont val="Tahoma"/>
            <family val="2"/>
          </rPr>
          <t>základ daně</t>
        </r>
      </text>
    </comment>
    <comment ref="AR5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nezahrnovat srážkovou vodu</t>
        </r>
      </text>
    </comment>
    <comment ref="Q1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29.4.2016-31.12.2016</t>
        </r>
      </text>
    </comment>
    <comment ref="W1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29.4.2016-31.12.2016</t>
        </r>
      </text>
    </comment>
    <comment ref="AC1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29.4.2016-31.12.2016</t>
        </r>
      </text>
    </comment>
    <comment ref="AI1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29.4.2016-31.12.2016</t>
        </r>
      </text>
    </comment>
    <comment ref="AO17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9.11.2016-31.12.2016</t>
        </r>
      </text>
    </comment>
    <comment ref="AT17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9.11.2016-31.12.2016
stocne 86,74 m3
</t>
        </r>
      </text>
    </comment>
    <comment ref="Q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1.1.2017-27,4,2017
</t>
        </r>
      </text>
    </comment>
    <comment ref="W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1.1.2017-27,4,2017
</t>
        </r>
      </text>
    </comment>
    <comment ref="AC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1.1.2017-27,4,2017
</t>
        </r>
      </text>
    </comment>
    <comment ref="AI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1.1.2017-27,4,2017
</t>
        </r>
      </text>
    </comment>
    <comment ref="AO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1.1.2017-3.11.2017</t>
        </r>
      </text>
    </comment>
    <comment ref="AT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1.1.2017-3.11.2017
stocne 503,816 m3</t>
        </r>
      </text>
    </comment>
    <comment ref="Q2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28.4.2017-31.12.2017</t>
        </r>
      </text>
    </comment>
    <comment ref="W2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28.4.2017-31.12.2017</t>
        </r>
      </text>
    </comment>
    <comment ref="AC2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28.4.2017-31.12.2017</t>
        </r>
      </text>
    </comment>
    <comment ref="AO3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4.11.2017-31.12.2017</t>
        </r>
      </text>
    </comment>
    <comment ref="AT3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4.11.2017-31.12.2017
stocne 95,184 m3
</t>
        </r>
      </text>
    </comment>
    <comment ref="Q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1.1.2018-26,4,2018
</t>
        </r>
      </text>
    </comment>
    <comment ref="W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1.1.2018-26,4,2018
</t>
        </r>
      </text>
    </comment>
    <comment ref="AC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1.1.2018-26,4,2018
</t>
        </r>
      </text>
    </comment>
    <comment ref="AO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1.1.2018-8.11.2018</t>
        </r>
      </text>
    </comment>
    <comment ref="AT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1.1.2018-8.11.2018
stocne 512,022 m3</t>
        </r>
      </text>
    </comment>
    <comment ref="Q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27.4.2018-31.12.2018</t>
        </r>
      </text>
    </comment>
    <comment ref="W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27.4.2018-31.12.2018</t>
        </r>
      </text>
    </comment>
    <comment ref="AC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27.4.2018-31.12.2018</t>
        </r>
      </text>
    </comment>
    <comment ref="AI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27.4.2018-31.12.2018</t>
        </r>
      </text>
    </comment>
    <comment ref="AO4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9.11.2018-31.12.2018</t>
        </r>
      </text>
    </comment>
    <comment ref="AT4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9.11.2018-31.12.2018
stocne 86,978 m3
</t>
        </r>
      </text>
    </comment>
    <comment ref="Q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1.1.2019-3,5,2019
</t>
        </r>
      </text>
    </comment>
    <comment ref="W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1.1.2019-3,5,2019
</t>
        </r>
      </text>
    </comment>
    <comment ref="AC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1.1.2019-3,5,2019
</t>
        </r>
      </text>
    </comment>
    <comment ref="AI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1.1.2019-3,5,2019
</t>
        </r>
      </text>
    </comment>
    <comment ref="AO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1.1.2019-26.11.2019</t>
        </r>
      </text>
    </comment>
    <comment ref="AT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1.1.2019-26.11.2019
stocne 541,562m3</t>
        </r>
      </text>
    </comment>
    <comment ref="Q5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4.5.2019-31.12.2019</t>
        </r>
      </text>
    </comment>
    <comment ref="W5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4.5.2019-31.12.2019</t>
        </r>
      </text>
    </comment>
    <comment ref="AC5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4.5.2019-31.12.2019</t>
        </r>
      </text>
    </comment>
    <comment ref="AI5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4.5.2019-31.12.2019</t>
        </r>
      </text>
    </comment>
    <comment ref="AR59" authorId="2">
      <text>
        <r>
          <rPr>
            <b/>
            <sz val="9"/>
            <rFont val="Tahoma"/>
            <family val="2"/>
          </rPr>
          <t>*</t>
        </r>
      </text>
    </comment>
    <comment ref="AW59" authorId="2">
      <text>
        <r>
          <rPr>
            <b/>
            <sz val="9"/>
            <rFont val="Tahoma"/>
            <family val="2"/>
          </rPr>
          <t>*</t>
        </r>
      </text>
    </comment>
    <comment ref="Q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1.1.2020-6,5,2020
</t>
        </r>
      </text>
    </comment>
    <comment ref="W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1.1.2020-6,5,2020
</t>
        </r>
      </text>
    </comment>
    <comment ref="AC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1.1.2020-6,5,2020
</t>
        </r>
      </text>
    </comment>
    <comment ref="AI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1.1.2020-6,5,2020
</t>
        </r>
      </text>
    </comment>
  </commentList>
</comments>
</file>

<file path=xl/comments8.xml><?xml version="1.0" encoding="utf-8"?>
<comments xmlns="http://schemas.openxmlformats.org/spreadsheetml/2006/main">
  <authors>
    <author>Jitka Mazurková</author>
    <author>Jiří Mazáček</author>
    <author>Tarkova Anastasia</author>
  </authors>
  <commentList>
    <comment ref="L5" authorId="0">
      <text>
        <r>
          <rPr>
            <b/>
            <sz val="9"/>
            <rFont val="Tahoma"/>
            <family val="2"/>
          </rPr>
          <t>rozdíl plynoměr * objemový koeficient</t>
        </r>
      </text>
    </comment>
    <comment ref="T5" authorId="0">
      <text>
        <r>
          <rPr>
            <b/>
            <sz val="9"/>
            <rFont val="Tahoma"/>
            <family val="2"/>
          </rPr>
          <t>základ daně</t>
        </r>
      </text>
    </comment>
    <comment ref="U5" authorId="0">
      <text>
        <r>
          <rPr>
            <b/>
            <sz val="9"/>
            <rFont val="Tahoma"/>
            <family val="2"/>
          </rPr>
          <t>základ daně</t>
        </r>
      </text>
    </comment>
    <comment ref="Z5" authorId="1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nezahrnovat srážkovou vodu</t>
        </r>
      </text>
    </comment>
    <comment ref="W17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16.11.2016-31.12.2016</t>
        </r>
      </text>
    </comment>
    <comment ref="AB17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16.11.2016-31.12.2016
stocne 13,377 m3
</t>
        </r>
      </text>
    </comment>
    <comment ref="Q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3.5.2017-3.5.2018</t>
        </r>
      </text>
    </comment>
    <comment ref="W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1.1.2017-16.11.2017</t>
        </r>
      </text>
    </comment>
    <comment ref="AB2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1.1.2017-16.11.2017
stocne 252,493 m3</t>
        </r>
      </text>
    </comment>
    <comment ref="W3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17.11.2017-31.12.2017</t>
        </r>
      </text>
    </comment>
    <comment ref="AB31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17.11.2017-31.12.2017
stocne 35,507 m3
</t>
        </r>
      </text>
    </comment>
    <comment ref="W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1.1.2018-23.11.2018</t>
        </r>
      </text>
    </comment>
    <comment ref="AB3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1.1.2018-23.11.2018
stocne 258,016 m3</t>
        </r>
      </text>
    </comment>
    <comment ref="Q3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4.5.2018-31.8.2018</t>
        </r>
      </text>
    </comment>
    <comment ref="Q4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W4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24.11.2018-31.12.2018</t>
        </r>
      </text>
    </comment>
    <comment ref="AB45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24.11.2018-31.12.2018
stocne 29,984 m3
</t>
        </r>
      </text>
    </comment>
    <comment ref="H49" authorId="2">
      <text>
        <r>
          <rPr>
            <b/>
            <sz val="9"/>
            <rFont val="Tahoma"/>
            <family val="2"/>
          </rPr>
          <t>*</t>
        </r>
      </text>
    </comment>
    <comment ref="Q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1.1.2019-7.5.2019</t>
        </r>
      </text>
    </comment>
    <comment ref="W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1.1.2019-5.11.2019</t>
        </r>
      </text>
    </comment>
    <comment ref="AB49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1.1.2019-5.11.2019
stocne 243,814 m3</t>
        </r>
      </text>
    </comment>
    <comment ref="Q5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8.5.2019-31.12.2019 </t>
        </r>
      </text>
    </comment>
    <comment ref="Q63" authorId="2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1.1.2020-28.4.2020 
</t>
        </r>
      </text>
    </comment>
  </commentList>
</comments>
</file>

<file path=xl/comments9.xml><?xml version="1.0" encoding="utf-8"?>
<comments xmlns="http://schemas.openxmlformats.org/spreadsheetml/2006/main">
  <authors>
    <author>Jitka Mazurková</author>
    <author>Tarkova Anastasia</author>
    <author>Jiří Mazáček</author>
  </authors>
  <commentList>
    <comment ref="I5" authorId="0">
      <text>
        <r>
          <rPr>
            <b/>
            <sz val="9"/>
            <rFont val="Tahoma"/>
            <family val="2"/>
          </rPr>
          <t>základ daně</t>
        </r>
      </text>
    </comment>
    <comment ref="AA5" authorId="0">
      <text>
        <r>
          <rPr>
            <b/>
            <sz val="9"/>
            <rFont val="Tahoma"/>
            <family val="2"/>
          </rPr>
          <t>základ daně</t>
        </r>
      </text>
    </comment>
    <comment ref="AG5" authorId="0">
      <text>
        <r>
          <rPr>
            <b/>
            <sz val="9"/>
            <rFont val="Tahoma"/>
            <family val="2"/>
          </rPr>
          <t>základ daně</t>
        </r>
      </text>
    </comment>
    <comment ref="AM5" authorId="0">
      <text>
        <r>
          <rPr>
            <b/>
            <sz val="9"/>
            <rFont val="Tahoma"/>
            <family val="2"/>
          </rPr>
          <t>základ daně</t>
        </r>
      </text>
    </comment>
    <comment ref="AS5" authorId="0">
      <text>
        <r>
          <rPr>
            <b/>
            <sz val="9"/>
            <rFont val="Tahoma"/>
            <family val="2"/>
          </rPr>
          <t>základ daně</t>
        </r>
      </text>
    </comment>
    <comment ref="BE5" authorId="0">
      <text>
        <r>
          <rPr>
            <b/>
            <sz val="9"/>
            <rFont val="Tahoma"/>
            <family val="2"/>
          </rPr>
          <t>základ daně</t>
        </r>
      </text>
    </comment>
    <comment ref="BK5" authorId="0">
      <text>
        <r>
          <rPr>
            <b/>
            <sz val="9"/>
            <rFont val="Tahoma"/>
            <family val="2"/>
          </rPr>
          <t>základ daně</t>
        </r>
      </text>
    </comment>
    <comment ref="BQ5" authorId="0">
      <text>
        <r>
          <rPr>
            <b/>
            <sz val="9"/>
            <rFont val="Tahoma"/>
            <family val="2"/>
          </rPr>
          <t>základ daně</t>
        </r>
      </text>
    </comment>
    <comment ref="BW5" authorId="0">
      <text>
        <r>
          <rPr>
            <b/>
            <sz val="9"/>
            <rFont val="Tahoma"/>
            <family val="2"/>
          </rPr>
          <t>základ daně</t>
        </r>
      </text>
    </comment>
    <comment ref="F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R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4.5.2017-3.5.2018</t>
        </r>
      </text>
    </comment>
    <comment ref="X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11.5.2017-10.5.2018</t>
        </r>
      </text>
    </comment>
    <comment ref="AD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AJ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AP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BB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3.2.2017-30.1.2018</t>
        </r>
      </text>
    </comment>
    <comment ref="BH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BN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BT21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28.4.2017-25.4.2018</t>
        </r>
      </text>
    </comment>
    <comment ref="BB36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31.1.2018-31.8.2018</t>
        </r>
      </text>
    </comment>
    <comment ref="F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</t>
        </r>
      </text>
    </comment>
    <comment ref="R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4.5.2018-31.8.2018</t>
        </r>
      </text>
    </comment>
    <comment ref="X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11.5.2018-31.8.2018</t>
        </r>
      </text>
    </comment>
    <comment ref="AD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</t>
        </r>
      </text>
    </comment>
    <comment ref="AJ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</t>
        </r>
      </text>
    </comment>
    <comment ref="AP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</t>
        </r>
      </text>
    </comment>
    <comment ref="BH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
</t>
        </r>
      </text>
    </comment>
    <comment ref="BN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
</t>
        </r>
      </text>
    </comment>
    <comment ref="BT3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26.4.2018-31.8.2018
</t>
        </r>
      </text>
    </comment>
    <comment ref="F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L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 podle historicke spotreby v fakture minus spotreba 26784 MWH</t>
        </r>
      </text>
    </comment>
    <comment ref="R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X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AD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AJ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AP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BB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BH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BN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BT4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1.9.2018-31.12.2018</t>
        </r>
      </text>
    </comment>
    <comment ref="F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L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1.1.2019-5.6.2019 </t>
        </r>
        <r>
          <rPr>
            <b/>
            <sz val="9"/>
            <rFont val="Tahoma"/>
            <family val="2"/>
          </rPr>
          <t>podle printscreenu</t>
        </r>
      </text>
    </comment>
    <comment ref="R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1.1.2019-9.5.2019</t>
        </r>
      </text>
    </comment>
    <comment ref="X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1.1.2019-9.5.2019</t>
        </r>
      </text>
    </comment>
    <comment ref="AD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AJ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AP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BB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1.1.2019-30.1.2019</t>
        </r>
      </text>
    </comment>
    <comment ref="BH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BN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BT49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1.1.2019-3.5.2019</t>
        </r>
      </text>
    </comment>
    <comment ref="BB50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31.1.2019-31.12.2019</t>
        </r>
      </text>
    </comment>
    <comment ref="R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10.5.2019-31.12.2019</t>
        </r>
      </text>
    </comment>
    <comment ref="X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10.5.2019-4.8.2019
</t>
        </r>
      </text>
    </comment>
    <comment ref="AP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4.5.2019-6.9.2019
</t>
        </r>
      </text>
    </comment>
    <comment ref="BH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4.5.2019-2.9.2019 podle printscreenu</t>
        </r>
      </text>
    </comment>
    <comment ref="BN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4.5.2019-31.12.2019</t>
        </r>
      </text>
    </comment>
    <comment ref="BT5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4.5.2019-2.9.2019 podle printscreenu</t>
        </r>
      </text>
    </comment>
    <comment ref="L54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6.6.2019-31.12.2019</t>
        </r>
      </text>
    </comment>
    <comment ref="X57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5.8.2019-31.12.2019</t>
        </r>
      </text>
    </comment>
    <comment ref="AP57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7.9.2019-31.12.2019
</t>
        </r>
      </text>
    </comment>
    <comment ref="BH57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3.9.2019-31.12.2019
podle printscreenu</t>
        </r>
      </text>
    </comment>
    <comment ref="BT57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3.9.2019-31.12.2019
podle printscreenu</t>
        </r>
      </text>
    </comment>
    <comment ref="L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1.1.2020-3.6.2020</t>
        </r>
      </text>
    </comment>
    <comment ref="R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1.1.2020-28.4.2020</t>
        </r>
      </text>
    </comment>
    <comment ref="X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1.1.2020-7.5.2020 </t>
        </r>
      </text>
    </comment>
    <comment ref="AP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1.1.2020-6.5.2020</t>
        </r>
      </text>
    </comment>
    <comment ref="BB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1.1.2020-17.2.2020</t>
        </r>
      </text>
    </comment>
    <comment ref="BH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1.1.2020-6.5.2020 podle printscreenu</t>
        </r>
      </text>
    </comment>
    <comment ref="BN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1.1.2020-6.5.2020 podle printscreenu</t>
        </r>
      </text>
    </comment>
    <comment ref="BT63" authorId="1">
      <text>
        <r>
          <rPr>
            <b/>
            <sz val="9"/>
            <rFont val="Tahoma"/>
            <family val="2"/>
          </rPr>
          <t>Tarkova Anastasia:</t>
        </r>
        <r>
          <rPr>
            <sz val="9"/>
            <rFont val="Tahoma"/>
            <family val="2"/>
          </rPr>
          <t xml:space="preserve">
1.1.2020-6.5.2020 podle printscreenu</t>
        </r>
      </text>
    </comment>
    <comment ref="AV81" authorId="2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odhad dle příkonu z pasportu</t>
        </r>
      </text>
    </comment>
    <comment ref="AZ81" authorId="2">
      <text>
        <r>
          <rPr>
            <b/>
            <sz val="9"/>
            <rFont val="Tahoma"/>
            <family val="2"/>
          </rPr>
          <t>Jiří Mazáček:</t>
        </r>
        <r>
          <rPr>
            <sz val="9"/>
            <rFont val="Tahoma"/>
            <family val="2"/>
          </rPr>
          <t xml:space="preserve">
odhad lde ceny elektřiny na RVO4</t>
        </r>
      </text>
    </comment>
  </commentList>
</comments>
</file>

<file path=xl/sharedStrings.xml><?xml version="1.0" encoding="utf-8"?>
<sst xmlns="http://schemas.openxmlformats.org/spreadsheetml/2006/main" count="907" uniqueCount="283">
  <si>
    <t>GJ</t>
  </si>
  <si>
    <t>Kč</t>
  </si>
  <si>
    <t>m3</t>
  </si>
  <si>
    <t>ELEKTŘINA</t>
  </si>
  <si>
    <t>Kč bez DPH</t>
  </si>
  <si>
    <t>Kč vč. DPH</t>
  </si>
  <si>
    <t>TEPLO</t>
  </si>
  <si>
    <t>VODA</t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</si>
  <si>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</si>
  <si>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platba</t>
  </si>
  <si>
    <t>OSTATNÍ PROVOZNÍ NÁKLADY</t>
  </si>
  <si>
    <t>DPH</t>
  </si>
  <si>
    <t>CELKEM</t>
  </si>
  <si>
    <t>-</t>
  </si>
  <si>
    <t>Tabulka 1</t>
  </si>
  <si>
    <t>objekt č.</t>
  </si>
  <si>
    <t>název</t>
  </si>
  <si>
    <t>název opatření</t>
  </si>
  <si>
    <t>Opatření 1</t>
  </si>
  <si>
    <t>Opatření 2</t>
  </si>
  <si>
    <t>Opatření 3</t>
  </si>
  <si>
    <t>Opatření 4</t>
  </si>
  <si>
    <t>Opatření 5</t>
  </si>
  <si>
    <t>Opatření 6</t>
  </si>
  <si>
    <t>Opatření 7</t>
  </si>
  <si>
    <t>Opatření 8</t>
  </si>
  <si>
    <t>Opatření 9</t>
  </si>
  <si>
    <t>Opatření 10</t>
  </si>
  <si>
    <t>Opatření 11</t>
  </si>
  <si>
    <t>Opatření 12</t>
  </si>
  <si>
    <t>Opatření 13</t>
  </si>
  <si>
    <t>Opatření 14</t>
  </si>
  <si>
    <t>Opatření 15</t>
  </si>
  <si>
    <t>Opatření 16</t>
  </si>
  <si>
    <t>Opatření 17</t>
  </si>
  <si>
    <t>Opatření 18</t>
  </si>
  <si>
    <t>Opatření 19</t>
  </si>
  <si>
    <t>Opatření 20</t>
  </si>
  <si>
    <t>vyplnit --&gt;</t>
  </si>
  <si>
    <t>Tabulka 2</t>
  </si>
  <si>
    <t>Ostatní provozní náklady</t>
  </si>
  <si>
    <t>Tabulka 3</t>
  </si>
  <si>
    <t xml:space="preserve">název </t>
  </si>
  <si>
    <t>Elektřina</t>
  </si>
  <si>
    <t>Voda</t>
  </si>
  <si>
    <t>Tabulka 4</t>
  </si>
  <si>
    <t>Ost. náklady</t>
  </si>
  <si>
    <t>kontrola</t>
  </si>
  <si>
    <r>
      <t>(m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/rok)</t>
    </r>
  </si>
  <si>
    <t>Roky poskytnuté záruky</t>
  </si>
  <si>
    <t>celkem za počet let hodnocení</t>
  </si>
  <si>
    <t>řádek</t>
  </si>
  <si>
    <t>A</t>
  </si>
  <si>
    <t>po realizaci</t>
  </si>
  <si>
    <t>úspora</t>
  </si>
  <si>
    <t>B</t>
  </si>
  <si>
    <t>C = A - B</t>
  </si>
  <si>
    <t>C</t>
  </si>
  <si>
    <t>D</t>
  </si>
  <si>
    <t>kontrola (musí souhlasit s Tabulkou 1 v předchozím listu)</t>
  </si>
  <si>
    <t>financování zakázky (úvěr)</t>
  </si>
  <si>
    <t>energetický management</t>
  </si>
  <si>
    <t>ostatní služby</t>
  </si>
  <si>
    <t>E</t>
  </si>
  <si>
    <t>F</t>
  </si>
  <si>
    <t xml:space="preserve">(v případě kladné hodnoty se jedná o "spoluúčast zadavatele") </t>
  </si>
  <si>
    <t xml:space="preserve">(v případě záporné hodnoty se jedná o "nadúsporu") </t>
  </si>
  <si>
    <t xml:space="preserve">Kč </t>
  </si>
  <si>
    <t>Cena celkem (včetně DPH)</t>
  </si>
  <si>
    <t>Cena celkem (bez DPH)</t>
  </si>
  <si>
    <t>4. CELKOVÁ CENA</t>
  </si>
  <si>
    <t>Cena za další služby celkem (včetně DPH)</t>
  </si>
  <si>
    <t>Cena za další služby celkem (bez DPH)</t>
  </si>
  <si>
    <t>cena za výkon energetického managementu (bez DPH)</t>
  </si>
  <si>
    <t>3. CENA ZA DALŠÍ SLUŽBY</t>
  </si>
  <si>
    <t>2. CENA ZA ZAJIŠTĚNÍ FINANCOVÁNÍ ZAKÁZKY</t>
  </si>
  <si>
    <t>Cena za realizaci úsporných opatření celkem (včetně DPH)</t>
  </si>
  <si>
    <t>Cena za realizaci úsporných opatření celkem (bez DPH)</t>
  </si>
  <si>
    <t>1. CENA ZA REALIZACI ÚSPORNÝCH OPATŘENÍ</t>
  </si>
  <si>
    <t>níže nevyplňovat,  automaticky se načítá z předchozího listu</t>
  </si>
  <si>
    <t>nabídková hodnota</t>
  </si>
  <si>
    <t>(procento)</t>
  </si>
  <si>
    <t>SOUHRN JEDNOTLIVÝCH HODNOTÍCÍCH KRITÉRIÍ</t>
  </si>
  <si>
    <r>
      <t>Voda [m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]</t>
    </r>
  </si>
  <si>
    <t>(GJ/rok)</t>
  </si>
  <si>
    <t>Nabídková cena</t>
  </si>
  <si>
    <t>Celková výše zaručených úspor (hodnocení - kritérium 2)</t>
  </si>
  <si>
    <t>POVINNÁ CENOVÁ PŘÍLOHA - PODKLAD PRO VYPLNĚNÍ</t>
  </si>
  <si>
    <t>oblast:</t>
  </si>
  <si>
    <t>ti:</t>
  </si>
  <si>
    <t>°C</t>
  </si>
  <si>
    <t>te</t>
  </si>
  <si>
    <t>d</t>
  </si>
  <si>
    <t>%</t>
  </si>
  <si>
    <t>náklady na realizaci opatření</t>
  </si>
  <si>
    <t>Podíl úspor prokazovaných měřením na celkovém objemu úspor (hodnocení - kritérium 4)</t>
  </si>
  <si>
    <t>Rozdíl celkové nabídkové ceny a celkových zaručených úspor</t>
  </si>
  <si>
    <t>Výše investičních nákladů</t>
  </si>
  <si>
    <t>spotřeba</t>
  </si>
  <si>
    <t xml:space="preserve">Podíl úspor prokazovaných na základě měření spotřeby celého objektu, resp. objektů, k celkovému objemu úspor </t>
  </si>
  <si>
    <t>úspora (vyplnit)</t>
  </si>
  <si>
    <t>Úspora z jednotlivých opatření v technických jednotkách (modelový rok)</t>
  </si>
  <si>
    <t>Úspora z jednotlivých opatření ve finančních nákladech (modelový rok)</t>
  </si>
  <si>
    <t>(Kč/rok)</t>
  </si>
  <si>
    <t>Referenční rok</t>
  </si>
  <si>
    <t>splátka IN+úroky</t>
  </si>
  <si>
    <t>celková splátka IN+úroků</t>
  </si>
  <si>
    <t>F- Podíl úspor prokazovaných na základě měření spotřeby celého objektu k celkovému objemu úspor [%]</t>
  </si>
  <si>
    <t>E = D - C</t>
  </si>
  <si>
    <t>včetně DPH</t>
  </si>
  <si>
    <t>REFERENČNÍ SPOTŘEBY A NÁKLADY</t>
  </si>
  <si>
    <r>
      <t>Cena za poskytnutí dodavatelského úvěru</t>
    </r>
    <r>
      <rPr>
        <i/>
        <sz val="10"/>
        <color theme="1"/>
        <rFont val="Calibri"/>
        <family val="2"/>
        <scheme val="minor"/>
      </rPr>
      <t xml:space="preserve"> (nepodlého DPH, ale zahrnuje její profinancování)</t>
    </r>
  </si>
  <si>
    <t>(Kč vč. DPH)</t>
  </si>
  <si>
    <t>období</t>
  </si>
  <si>
    <t>MWh</t>
  </si>
  <si>
    <t>Kč/MWh</t>
  </si>
  <si>
    <t>REFERENČNÍ CENY ENERGIE A VODY</t>
  </si>
  <si>
    <t>(pro vyčíslení a vyhodnocení úspor)</t>
  </si>
  <si>
    <t>REFERENČNÍ NÁKLADY CELKEM</t>
  </si>
  <si>
    <t>REFERENČNÍ ÚDAJE</t>
  </si>
  <si>
    <t>Voda [Kč vč. DPH]</t>
  </si>
  <si>
    <t>Ostatní provozní náklady [Kč vč. DPH]</t>
  </si>
  <si>
    <t>úspory vykazované dle IPMVP/var. C 
[Kč vč. DPH]</t>
  </si>
  <si>
    <t>Výše investičních nákladů (hodnocení - kritérium 3)</t>
  </si>
  <si>
    <t>Cena za financování zakázky (objem úroků)</t>
  </si>
  <si>
    <t xml:space="preserve">Cena za výkon eneregtického managementu </t>
  </si>
  <si>
    <t>Celková nabídková cena (hodnocení  - kritérium 1)</t>
  </si>
  <si>
    <t>E - CashFlow projektu = Rozdíl celkové nabídkové ceny a celkových zaručených úspor [Kč vč. DPH]</t>
  </si>
  <si>
    <t>D – Nabídková cena [Kč vč. DPH]</t>
  </si>
  <si>
    <t>Celkový objem zaručených úspor</t>
  </si>
  <si>
    <t>(MWh/rok)</t>
  </si>
  <si>
    <t>Cena za realizaci jednotlivých opatření v Kč vč. DPH</t>
  </si>
  <si>
    <t>Investice celkem       
 (Kč vč. DPH)</t>
  </si>
  <si>
    <t>Úspora z jednotlivých opatření v Kč/rok vč. DPH (modelový rok)</t>
  </si>
  <si>
    <t>Úspora celkem        (Kč/rok vč. DPH)</t>
  </si>
  <si>
    <t>Úspora celkem        
(v technických jednotkách)</t>
  </si>
  <si>
    <t>Teplo [GJ]</t>
  </si>
  <si>
    <t>Elektřina [MWh]</t>
  </si>
  <si>
    <t>Teplo [Kč vč. DPH]</t>
  </si>
  <si>
    <t>Elektřina [Kč vč. DPH]</t>
  </si>
  <si>
    <r>
      <t>A - Výchozí spotřeba energie v technických jednotkách a náklady na spotřebu energie po dobu trvání kontraktu [GJ, MWh, m</t>
    </r>
    <r>
      <rPr>
        <b/>
        <i/>
        <vertAlign val="superscript"/>
        <sz val="10"/>
        <rFont val="Calibri"/>
        <family val="2"/>
        <scheme val="minor"/>
      </rPr>
      <t>3</t>
    </r>
    <r>
      <rPr>
        <b/>
        <i/>
        <sz val="10"/>
        <rFont val="Calibri"/>
        <family val="2"/>
        <scheme val="minor"/>
      </rPr>
      <t>, Kč vč. DPH]</t>
    </r>
  </si>
  <si>
    <t>B - Zaručená spotřeba energie v technických jednotkách a náklady na spotřebu energie a ostatní náklady po dobu trvání kontraktu [GJ, MWh, m3, Kč vč. DPH]</t>
  </si>
  <si>
    <t>C - Výše zaručených úspor [GJ, MWh, m3, Kč vč. DPH]</t>
  </si>
  <si>
    <t>Teplo</t>
  </si>
  <si>
    <t>ZEMNÍ PLYN</t>
  </si>
  <si>
    <t>- referenční ceny vody odpovídají cenám vodného a stočného (nezahrnují paušální platbu za srážkovou vodu).</t>
  </si>
  <si>
    <t>Kč/GJ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</si>
  <si>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</si>
  <si>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</si>
  <si>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</si>
  <si>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</si>
  <si>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</si>
  <si>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</si>
  <si>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</si>
  <si>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</si>
  <si>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</si>
  <si>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</si>
  <si>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</si>
  <si>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</si>
  <si>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celkové náklady</t>
  </si>
  <si>
    <r>
      <t>Kč/m</t>
    </r>
    <r>
      <rPr>
        <b/>
        <vertAlign val="superscript"/>
        <sz val="10"/>
        <rFont val="Calibri"/>
        <family val="2"/>
        <scheme val="minor"/>
      </rPr>
      <t>3</t>
    </r>
  </si>
  <si>
    <t>F = 38 / C</t>
  </si>
  <si>
    <t>REFERENČNÍ KLIMADATA</t>
  </si>
  <si>
    <t>Období - rok 2019</t>
  </si>
  <si>
    <t>cena za další služby (bez DPH)</t>
  </si>
  <si>
    <t xml:space="preserve">Cena za další služby </t>
  </si>
  <si>
    <t>číslo OM: 0101876569, Masarykova 559</t>
  </si>
  <si>
    <t xml:space="preserve">OM1: </t>
  </si>
  <si>
    <t>elektroměr č.19520298</t>
  </si>
  <si>
    <t>elektroměr č.72616192</t>
  </si>
  <si>
    <t>elektroměr č.5922404</t>
  </si>
  <si>
    <t>elektroměr č.146179</t>
  </si>
  <si>
    <t>elektroměr č.64037693</t>
  </si>
  <si>
    <t>elektroměr č.71882160</t>
  </si>
  <si>
    <t>elektroměr č.64037698</t>
  </si>
  <si>
    <t>celkem vodoměr, 610008426,  Masarykova 559</t>
  </si>
  <si>
    <t>celkem vodoměr, 610013240,  Masarykova 559 SRAZKY</t>
  </si>
  <si>
    <t>EAN: 859182400406445523, C25d</t>
  </si>
  <si>
    <t>EAN: 859182400406445530, C01d</t>
  </si>
  <si>
    <t>EAN: 859182400406445547, C25d</t>
  </si>
  <si>
    <t>EAN: 859182400406445554, C25d</t>
  </si>
  <si>
    <t>EAN: 859182400406445561, C01d</t>
  </si>
  <si>
    <t>EAN: 859182400406445578, C02d</t>
  </si>
  <si>
    <t>EAN: 859182400406445585, C02d</t>
  </si>
  <si>
    <t>Kč/GJ vč. DPH</t>
  </si>
  <si>
    <t>kWh</t>
  </si>
  <si>
    <t>kWh - VT</t>
  </si>
  <si>
    <t>kWh - NT</t>
  </si>
  <si>
    <t>VT+NT</t>
  </si>
  <si>
    <t>Vodné</t>
  </si>
  <si>
    <t>Stočné</t>
  </si>
  <si>
    <t>Kč vč. DPH VO+ST</t>
  </si>
  <si>
    <r>
      <t>m</t>
    </r>
    <r>
      <rPr>
        <b/>
        <vertAlign val="superscript"/>
        <sz val="10"/>
        <color theme="0" tint="-0.4999699890613556"/>
        <rFont val="Calibri"/>
        <family val="2"/>
        <scheme val="minor"/>
      </rPr>
      <t>3</t>
    </r>
  </si>
  <si>
    <t>číslo OM: 0101876570, Husovo náměstí 17, ZŠ, MŠ a ZUŠ TEPLO</t>
  </si>
  <si>
    <t>celkem 1.elektroměr-Husovo nám. 17</t>
  </si>
  <si>
    <t>celkem vodoměr, 610008642,  Husovo nám. 17</t>
  </si>
  <si>
    <t>celkem vodoměr, 610008642,  Husovo nám. 17 SRAZKY</t>
  </si>
  <si>
    <t>EAN: 859182400406444182</t>
  </si>
  <si>
    <t>EAN: 859182400406445028</t>
  </si>
  <si>
    <t>EAN: 859182400406444175</t>
  </si>
  <si>
    <t>EAN: 859182400406445011</t>
  </si>
  <si>
    <t xml:space="preserve">Kč vč. DPH </t>
  </si>
  <si>
    <t>*celkem naklady za vodu 2019 jsou 101 544,5 kc podle excel 'Prehledy o nakladech'</t>
  </si>
  <si>
    <t>celkem naklady za plyn 2019 jsou 589 891 kc podle excel 'Prehledy o nakladech'</t>
  </si>
  <si>
    <t>Mozna ze jsou jeste dalsi OM ale faktury neposlali!</t>
  </si>
  <si>
    <t>*celkem naklady za elektrinu 2019 jsou 244 168 kc podle excel 'Prehledy o nakladech'</t>
  </si>
  <si>
    <t>číslo OM: 0101876568,  V Aleji 400</t>
  </si>
  <si>
    <t>OM1: ????</t>
  </si>
  <si>
    <t>celkem 1.elektroměr- V Aleji 400</t>
  </si>
  <si>
    <t>celkem vodoměr, 610008603,  V Aleji 400</t>
  </si>
  <si>
    <t>celkem vodoměr, 610008603,  V Aleji 400 SRAZKY</t>
  </si>
  <si>
    <t>EAN: 859182400406444700</t>
  </si>
  <si>
    <t>zapocitano v roce 2017</t>
  </si>
  <si>
    <t xml:space="preserve">*celkem naklady za plyn 2019 jsou 174 710 kc podle excel 'Prehledy o nakladech' </t>
  </si>
  <si>
    <t xml:space="preserve">*celkem naklady za elektrinu 2019 jsou 43 461 kc podle excel 'Prehledy o nakladech' </t>
  </si>
  <si>
    <t>Spotreba podle Excel "Seznam MS Chabarovice":</t>
  </si>
  <si>
    <t>Spotreba 2018-2019 (cely rok):</t>
  </si>
  <si>
    <t>není VO</t>
  </si>
  <si>
    <t>RVO 1</t>
  </si>
  <si>
    <t>Smetanova</t>
  </si>
  <si>
    <t>RVO 2</t>
  </si>
  <si>
    <t>Teplická</t>
  </si>
  <si>
    <t>RVO 3</t>
  </si>
  <si>
    <t>Unčínská</t>
  </si>
  <si>
    <t>RVO 4</t>
  </si>
  <si>
    <t>MěÚ</t>
  </si>
  <si>
    <t>RVO 5</t>
  </si>
  <si>
    <t>Ústecká</t>
  </si>
  <si>
    <t xml:space="preserve"> (1 lampa)</t>
  </si>
  <si>
    <t xml:space="preserve">RVO </t>
  </si>
  <si>
    <t>Roudníky</t>
  </si>
  <si>
    <t>toto nejspíš není VO</t>
  </si>
  <si>
    <r>
      <t xml:space="preserve">celkem 1.elektroměr- Husovo náměstí </t>
    </r>
    <r>
      <rPr>
        <b/>
        <sz val="12"/>
        <color theme="0" tint="-0.4999699890613556"/>
        <rFont val="Calibri"/>
        <family val="2"/>
        <scheme val="minor"/>
      </rPr>
      <t>155</t>
    </r>
  </si>
  <si>
    <t>Metropol</t>
  </si>
  <si>
    <t>asi není VO</t>
  </si>
  <si>
    <r>
      <t xml:space="preserve">celkem 1.elektroměr- </t>
    </r>
    <r>
      <rPr>
        <b/>
        <sz val="12"/>
        <color rgb="FFFF0000"/>
        <rFont val="Calibri"/>
        <family val="2"/>
        <scheme val="minor"/>
      </rPr>
      <t>Smetanova</t>
    </r>
  </si>
  <si>
    <t>3x40 A</t>
  </si>
  <si>
    <r>
      <t xml:space="preserve">celkem 1.elektroměr- </t>
    </r>
    <r>
      <rPr>
        <b/>
        <sz val="12"/>
        <color rgb="FFFF0000"/>
        <rFont val="Calibri"/>
        <family val="2"/>
        <scheme val="minor"/>
      </rPr>
      <t>Luční 232</t>
    </r>
  </si>
  <si>
    <t>3x32 A</t>
  </si>
  <si>
    <r>
      <t xml:space="preserve">celkem 1.elektroměr- </t>
    </r>
    <r>
      <rPr>
        <b/>
        <sz val="12"/>
        <color rgb="FFFF0000"/>
        <rFont val="Calibri"/>
        <family val="2"/>
        <scheme val="minor"/>
      </rPr>
      <t>Unčínská</t>
    </r>
  </si>
  <si>
    <t>1x16 A</t>
  </si>
  <si>
    <r>
      <t xml:space="preserve">celkem 1.elektroměr- Husovo náměstí </t>
    </r>
    <r>
      <rPr>
        <b/>
        <sz val="12"/>
        <color theme="0" tint="-0.3499799966812134"/>
        <rFont val="Calibri"/>
        <family val="2"/>
        <scheme val="minor"/>
      </rPr>
      <t>183</t>
    </r>
  </si>
  <si>
    <r>
      <t xml:space="preserve">celkem 1.elektroměr- </t>
    </r>
    <r>
      <rPr>
        <b/>
        <sz val="12"/>
        <color rgb="FFFF0000"/>
        <rFont val="Calibri"/>
        <family val="2"/>
        <scheme val="minor"/>
      </rPr>
      <t>Husovo náměstí 183</t>
    </r>
  </si>
  <si>
    <t>3x80 A</t>
  </si>
  <si>
    <t>celkem 1.elektroměr- ……??</t>
  </si>
  <si>
    <t>1x20 A</t>
  </si>
  <si>
    <t>celkem 1.elektroměr- Roudniky 11</t>
  </si>
  <si>
    <t>celkem 1.elektroměr- Husovo nám. 183</t>
  </si>
  <si>
    <t>c02d, 3x16 A</t>
  </si>
  <si>
    <t>celkem 1.elektroměr- Husovo nám. 155</t>
  </si>
  <si>
    <t>c01d, 1x6 A</t>
  </si>
  <si>
    <t>c02d, 3x25 A</t>
  </si>
  <si>
    <t>EAN: 859182400400517653</t>
  </si>
  <si>
    <t>EAN859182400406445431</t>
  </si>
  <si>
    <t>EAN859182400406445325</t>
  </si>
  <si>
    <t>EAN: 859182400407633325</t>
  </si>
  <si>
    <t>EAN: 859182400406445301</t>
  </si>
  <si>
    <t>EAN: 859182400406445318</t>
  </si>
  <si>
    <t>EAN: 859182400406445349</t>
  </si>
  <si>
    <t>EAN: 859182400xxxxxxxx</t>
  </si>
  <si>
    <t>EAN: 859182400405367031</t>
  </si>
  <si>
    <t>n/a</t>
  </si>
  <si>
    <t>roční hodnota 1</t>
  </si>
  <si>
    <t>roční hodnota 2</t>
  </si>
  <si>
    <t>roční hodnota 3</t>
  </si>
  <si>
    <t>referenční údaj</t>
  </si>
  <si>
    <t>Kč/kWh</t>
  </si>
  <si>
    <t>celkem</t>
  </si>
  <si>
    <t>ZŠ Masarykova</t>
  </si>
  <si>
    <t>MŠ, ZUŠ, ZŠ č.p. 17</t>
  </si>
  <si>
    <t>Sportovní hala</t>
  </si>
  <si>
    <t>Veřejné osvětlení</t>
  </si>
  <si>
    <t>REF. ÚDAJ</t>
  </si>
  <si>
    <t>https://vytapeni.tzb-info.cz/tabulky-a-vypocty/103-vypocet-denostupnu?stanice=36&amp;action=1&amp;otopne_obdobi=&amp;start_day=01&amp;start_month=01&amp;start_year=2019&amp;end_day=31&amp;end_month=12&amp;end_year=2019&amp;ti=20&amp;tem=13.0&amp;chkbox_sumtbl=1&amp;chkbox_deg=1&amp;chkbox_dnu=1&amp;chkbox_prumerne_teploty=1&amp;deg_x=740&amp;deg_y=270&amp;otop_dny_x=740&amp;otop_dny_y=270&amp;prum_teploty_x=740&amp;prum_teploty_y=270</t>
  </si>
  <si>
    <t>Ústí nad Labem</t>
  </si>
  <si>
    <t>Referenční spotřeby vody odpovídají spotřebám roku 2018.</t>
  </si>
  <si>
    <t>- referenční ceny byly zvoleny jako průměrné jednotkové ceny z referenčního období - viz detail každé budovy.</t>
  </si>
  <si>
    <t>Referenční spotřeby energie odpovídají spotřebám roku 2019. Neplatí to v plní míře u veřejného osvětlení, kde je to u některých OM dle posledního zúčtovaného období.</t>
  </si>
  <si>
    <t>Referenční náklady jsou stanoveny jako součin referenčních spotřeb a odpovídajících jednotkových cen</t>
  </si>
  <si>
    <t>A = 4 + 5 + 6 + 7</t>
  </si>
  <si>
    <t>B = 11 + 12 + 13 + 14</t>
  </si>
  <si>
    <t>D = 31 + 32 + 33 + 34</t>
  </si>
  <si>
    <t>U VO je referenční spotřeba stanovena převážně jako průměr ze 3 let, případně za jiné období, pokud nebyly k dispozici historické údaje.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</si>
</sst>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.000"/>
    <numFmt numFmtId="168" formatCode="#,##0.00\ &quot;Kč&quot;"/>
    <numFmt numFmtId="169" formatCode="#,##0\ &quot;Kč&quot;"/>
    <numFmt numFmtId="170" formatCode="_-* #,##0_-;\-* #,##0_-;_-* &quot;-&quot;??_-;_-@_-"/>
    <numFmt numFmtId="171" formatCode="0.000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0" tint="-0.3499799966812134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 CE"/>
      <family val="2"/>
    </font>
    <font>
      <b/>
      <sz val="10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color theme="0" tint="-0.2499700039625167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theme="0" tint="-0.24997000396251678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rgb="FFFF0000"/>
      <name val="Calibri"/>
      <family val="2"/>
    </font>
    <font>
      <b/>
      <sz val="11"/>
      <color theme="0" tint="-0.499969989061355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10"/>
      <color theme="0" tint="-0.4999699890613556"/>
      <name val="Calibri"/>
      <family val="2"/>
      <scheme val="minor"/>
    </font>
    <font>
      <sz val="10"/>
      <color theme="2" tint="-0.7499799728393555"/>
      <name val="Calibri"/>
      <family val="2"/>
      <scheme val="minor"/>
    </font>
    <font>
      <b/>
      <sz val="10"/>
      <color theme="2" tint="-0.7499799728393555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b/>
      <sz val="12"/>
      <color theme="0" tint="-0.3499799966812134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  <font>
      <i/>
      <sz val="10"/>
      <color theme="1" tint="0.4999800026416778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dott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/>
      <top/>
      <bottom style="dotted">
        <color theme="0" tint="-0.4999699890613556"/>
      </bottom>
    </border>
    <border>
      <left/>
      <right/>
      <top style="thin">
        <color theme="0" tint="-0.4999699890613556"/>
      </top>
      <bottom style="dotted">
        <color theme="1" tint="0.49998000264167786"/>
      </bottom>
    </border>
    <border>
      <left/>
      <right/>
      <top/>
      <bottom style="dotted">
        <color theme="1" tint="0.49998000264167786"/>
      </bottom>
    </border>
    <border>
      <left/>
      <right/>
      <top style="dotted">
        <color theme="1" tint="0.49998000264167786"/>
      </top>
      <bottom style="dotted">
        <color theme="1" tint="0.49998000264167786"/>
      </bottom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57">
    <xf numFmtId="0" fontId="0" fillId="0" borderId="0" xfId="0"/>
    <xf numFmtId="0" fontId="8" fillId="0" borderId="0" xfId="0" applyFont="1"/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right" vertical="center"/>
    </xf>
    <xf numFmtId="9" fontId="14" fillId="2" borderId="0" xfId="21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9" fontId="16" fillId="2" borderId="1" xfId="2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8" fillId="2" borderId="0" xfId="20" applyFont="1" applyFill="1" applyAlignment="1">
      <alignment vertical="center"/>
      <protection/>
    </xf>
    <xf numFmtId="0" fontId="20" fillId="2" borderId="0" xfId="0" applyFont="1" applyFill="1" applyAlignment="1">
      <alignment horizontal="right" vertical="center"/>
    </xf>
    <xf numFmtId="0" fontId="14" fillId="0" borderId="0" xfId="0" applyFont="1"/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2" fillId="0" borderId="4" xfId="0" applyFont="1" applyBorder="1"/>
    <xf numFmtId="0" fontId="12" fillId="0" borderId="0" xfId="0" applyFont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" fontId="12" fillId="0" borderId="0" xfId="0" applyNumberFormat="1" applyFont="1"/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3" fillId="0" borderId="2" xfId="0" applyFont="1" applyBorder="1"/>
    <xf numFmtId="0" fontId="9" fillId="2" borderId="0" xfId="22" applyFont="1" applyFill="1" applyProtection="1">
      <alignment/>
      <protection/>
    </xf>
    <xf numFmtId="0" fontId="4" fillId="2" borderId="4" xfId="22" applyFont="1" applyFill="1" applyBorder="1" applyAlignment="1" applyProtection="1" quotePrefix="1">
      <alignment/>
      <protection locked="0"/>
    </xf>
    <xf numFmtId="0" fontId="4" fillId="2" borderId="0" xfId="22" applyFont="1" applyFill="1" applyAlignment="1" applyProtection="1" quotePrefix="1">
      <alignment horizontal="center"/>
      <protection locked="0"/>
    </xf>
    <xf numFmtId="3" fontId="4" fillId="2" borderId="0" xfId="22" applyNumberFormat="1" applyFont="1" applyFill="1" applyAlignment="1" applyProtection="1" quotePrefix="1">
      <alignment horizontal="center"/>
      <protection locked="0"/>
    </xf>
    <xf numFmtId="0" fontId="0" fillId="0" borderId="0" xfId="0" applyFont="1"/>
    <xf numFmtId="0" fontId="9" fillId="2" borderId="0" xfId="22" applyFont="1" applyFill="1" applyAlignment="1" applyProtection="1">
      <alignment horizontal="left" wrapText="1"/>
      <protection/>
    </xf>
    <xf numFmtId="0" fontId="9" fillId="2" borderId="0" xfId="22" applyFont="1" applyFill="1" applyAlignment="1" applyProtection="1">
      <alignment horizontal="center"/>
      <protection/>
    </xf>
    <xf numFmtId="0" fontId="9" fillId="2" borderId="0" xfId="22" applyFont="1" applyFill="1" applyAlignment="1" applyProtection="1" quotePrefix="1">
      <alignment horizontal="center"/>
      <protection/>
    </xf>
    <xf numFmtId="3" fontId="9" fillId="7" borderId="10" xfId="22" applyNumberFormat="1" applyFont="1" applyFill="1" applyBorder="1" applyProtection="1">
      <alignment/>
      <protection locked="0"/>
    </xf>
    <xf numFmtId="3" fontId="32" fillId="0" borderId="10" xfId="22" applyNumberFormat="1" applyFont="1" applyFill="1" applyBorder="1" applyProtection="1">
      <alignment/>
      <protection locked="0"/>
    </xf>
    <xf numFmtId="3" fontId="32" fillId="0" borderId="11" xfId="22" applyNumberFormat="1" applyFont="1" applyFill="1" applyBorder="1" applyProtection="1">
      <alignment/>
      <protection locked="0"/>
    </xf>
    <xf numFmtId="0" fontId="9" fillId="0" borderId="12" xfId="22" applyFont="1" applyBorder="1" applyProtection="1">
      <alignment/>
      <protection/>
    </xf>
    <xf numFmtId="0" fontId="9" fillId="0" borderId="0" xfId="22" applyFont="1" applyBorder="1" applyAlignment="1" applyProtection="1">
      <alignment horizontal="center"/>
      <protection/>
    </xf>
    <xf numFmtId="0" fontId="9" fillId="0" borderId="13" xfId="22" applyFont="1" applyBorder="1" applyProtection="1">
      <alignment/>
      <protection/>
    </xf>
    <xf numFmtId="0" fontId="9" fillId="0" borderId="14" xfId="22" applyFont="1" applyBorder="1" applyAlignment="1" applyProtection="1">
      <alignment horizontal="center"/>
      <protection/>
    </xf>
    <xf numFmtId="3" fontId="9" fillId="7" borderId="15" xfId="22" applyNumberFormat="1" applyFont="1" applyFill="1" applyBorder="1" applyProtection="1">
      <alignment/>
      <protection locked="0"/>
    </xf>
    <xf numFmtId="3" fontId="32" fillId="0" borderId="15" xfId="22" applyNumberFormat="1" applyFont="1" applyFill="1" applyBorder="1" applyProtection="1">
      <alignment/>
      <protection locked="0"/>
    </xf>
    <xf numFmtId="3" fontId="32" fillId="0" borderId="16" xfId="22" applyNumberFormat="1" applyFont="1" applyFill="1" applyBorder="1" applyProtection="1">
      <alignment/>
      <protection locked="0"/>
    </xf>
    <xf numFmtId="0" fontId="9" fillId="0" borderId="17" xfId="22" applyFont="1" applyBorder="1" applyProtection="1">
      <alignment/>
      <protection/>
    </xf>
    <xf numFmtId="0" fontId="9" fillId="0" borderId="18" xfId="22" applyFont="1" applyBorder="1" applyAlignment="1" applyProtection="1">
      <alignment horizontal="center"/>
      <protection/>
    </xf>
    <xf numFmtId="3" fontId="32" fillId="0" borderId="6" xfId="22" applyNumberFormat="1" applyFont="1" applyFill="1" applyBorder="1" applyProtection="1">
      <alignment/>
      <protection locked="0"/>
    </xf>
    <xf numFmtId="3" fontId="32" fillId="0" borderId="7" xfId="22" applyNumberFormat="1" applyFont="1" applyFill="1" applyBorder="1" applyProtection="1">
      <alignment/>
      <protection locked="0"/>
    </xf>
    <xf numFmtId="0" fontId="9" fillId="0" borderId="13" xfId="22" applyFont="1" applyBorder="1" applyAlignment="1" applyProtection="1" quotePrefix="1">
      <alignment horizontal="left"/>
      <protection/>
    </xf>
    <xf numFmtId="0" fontId="4" fillId="0" borderId="19" xfId="22" applyFont="1" applyBorder="1" applyProtection="1">
      <alignment/>
      <protection/>
    </xf>
    <xf numFmtId="0" fontId="4" fillId="0" borderId="20" xfId="22" applyFont="1" applyBorder="1" applyAlignment="1" applyProtection="1">
      <alignment horizontal="center"/>
      <protection/>
    </xf>
    <xf numFmtId="3" fontId="4" fillId="7" borderId="21" xfId="22" applyNumberFormat="1" applyFont="1" applyFill="1" applyBorder="1" applyProtection="1">
      <alignment/>
      <protection locked="0"/>
    </xf>
    <xf numFmtId="3" fontId="28" fillId="7" borderId="21" xfId="22" applyNumberFormat="1" applyFont="1" applyFill="1" applyBorder="1" applyProtection="1">
      <alignment/>
      <protection locked="0"/>
    </xf>
    <xf numFmtId="3" fontId="4" fillId="7" borderId="22" xfId="22" applyNumberFormat="1" applyFont="1" applyFill="1" applyBorder="1" applyProtection="1">
      <alignment/>
      <protection locked="0"/>
    </xf>
    <xf numFmtId="0" fontId="12" fillId="0" borderId="0" xfId="0" applyFont="1" applyAlignment="1">
      <alignment horizontal="center"/>
    </xf>
    <xf numFmtId="3" fontId="32" fillId="2" borderId="10" xfId="22" applyNumberFormat="1" applyFont="1" applyFill="1" applyBorder="1" applyAlignment="1" applyProtection="1">
      <alignment horizontal="right"/>
      <protection locked="0"/>
    </xf>
    <xf numFmtId="3" fontId="9" fillId="8" borderId="10" xfId="22" applyNumberFormat="1" applyFont="1" applyFill="1" applyBorder="1" applyProtection="1">
      <alignment/>
      <protection locked="0"/>
    </xf>
    <xf numFmtId="3" fontId="9" fillId="8" borderId="23" xfId="22" applyNumberFormat="1" applyFont="1" applyFill="1" applyBorder="1" applyProtection="1">
      <alignment/>
      <protection locked="0"/>
    </xf>
    <xf numFmtId="3" fontId="9" fillId="8" borderId="11" xfId="22" applyNumberFormat="1" applyFont="1" applyFill="1" applyBorder="1" applyProtection="1">
      <alignment/>
      <protection locked="0"/>
    </xf>
    <xf numFmtId="164" fontId="14" fillId="0" borderId="0" xfId="21" applyNumberFormat="1" applyFont="1"/>
    <xf numFmtId="0" fontId="9" fillId="0" borderId="24" xfId="22" applyFont="1" applyBorder="1" applyAlignment="1" applyProtection="1">
      <alignment horizontal="center"/>
      <protection/>
    </xf>
    <xf numFmtId="3" fontId="23" fillId="0" borderId="25" xfId="22" applyNumberFormat="1" applyFont="1" applyFill="1" applyBorder="1" applyAlignment="1" applyProtection="1">
      <alignment horizontal="center"/>
      <protection locked="0"/>
    </xf>
    <xf numFmtId="0" fontId="9" fillId="0" borderId="26" xfId="22" applyFont="1" applyBorder="1" applyAlignment="1" applyProtection="1">
      <alignment horizontal="center"/>
      <protection/>
    </xf>
    <xf numFmtId="3" fontId="23" fillId="0" borderId="27" xfId="22" applyNumberFormat="1" applyFont="1" applyFill="1" applyBorder="1" applyAlignment="1" applyProtection="1">
      <alignment horizontal="center"/>
      <protection locked="0"/>
    </xf>
    <xf numFmtId="3" fontId="32" fillId="2" borderId="15" xfId="22" applyNumberFormat="1" applyFont="1" applyFill="1" applyBorder="1" applyAlignment="1" applyProtection="1">
      <alignment horizontal="right"/>
      <protection locked="0"/>
    </xf>
    <xf numFmtId="3" fontId="9" fillId="8" borderId="15" xfId="22" applyNumberFormat="1" applyFont="1" applyFill="1" applyBorder="1" applyProtection="1">
      <alignment/>
      <protection locked="0"/>
    </xf>
    <xf numFmtId="3" fontId="9" fillId="8" borderId="8" xfId="22" applyNumberFormat="1" applyFont="1" applyFill="1" applyBorder="1" applyProtection="1">
      <alignment/>
      <protection locked="0"/>
    </xf>
    <xf numFmtId="3" fontId="9" fillId="8" borderId="16" xfId="22" applyNumberFormat="1" applyFont="1" applyFill="1" applyBorder="1" applyProtection="1">
      <alignment/>
      <protection locked="0"/>
    </xf>
    <xf numFmtId="0" fontId="9" fillId="0" borderId="28" xfId="22" applyFont="1" applyBorder="1" applyAlignment="1" applyProtection="1">
      <alignment horizontal="center"/>
      <protection/>
    </xf>
    <xf numFmtId="3" fontId="23" fillId="0" borderId="18" xfId="22" applyNumberFormat="1" applyFont="1" applyFill="1" applyBorder="1" applyAlignment="1" applyProtection="1">
      <alignment horizontal="center"/>
      <protection locked="0"/>
    </xf>
    <xf numFmtId="3" fontId="32" fillId="2" borderId="6" xfId="22" applyNumberFormat="1" applyFont="1" applyFill="1" applyBorder="1" applyAlignment="1" applyProtection="1">
      <alignment horizontal="right"/>
      <protection locked="0"/>
    </xf>
    <xf numFmtId="3" fontId="9" fillId="8" borderId="6" xfId="22" applyNumberFormat="1" applyFont="1" applyFill="1" applyBorder="1" applyProtection="1">
      <alignment/>
      <protection locked="0"/>
    </xf>
    <xf numFmtId="3" fontId="9" fillId="8" borderId="7" xfId="22" applyNumberFormat="1" applyFont="1" applyFill="1" applyBorder="1" applyProtection="1">
      <alignment/>
      <protection locked="0"/>
    </xf>
    <xf numFmtId="3" fontId="23" fillId="0" borderId="14" xfId="22" applyNumberFormat="1" applyFont="1" applyFill="1" applyBorder="1" applyAlignment="1" applyProtection="1">
      <alignment horizontal="center"/>
      <protection locked="0"/>
    </xf>
    <xf numFmtId="3" fontId="9" fillId="0" borderId="0" xfId="22" applyNumberFormat="1" applyFont="1" applyFill="1" applyBorder="1" applyProtection="1">
      <alignment/>
      <protection locked="0"/>
    </xf>
    <xf numFmtId="0" fontId="4" fillId="0" borderId="0" xfId="22" applyFont="1" applyBorder="1" applyProtection="1">
      <alignment/>
      <protection/>
    </xf>
    <xf numFmtId="0" fontId="4" fillId="0" borderId="0" xfId="22" applyFont="1" applyBorder="1" applyAlignment="1" applyProtection="1">
      <alignment horizontal="center"/>
      <protection/>
    </xf>
    <xf numFmtId="3" fontId="4" fillId="0" borderId="0" xfId="22" applyNumberFormat="1" applyFont="1" applyBorder="1" applyProtection="1">
      <alignment/>
      <protection/>
    </xf>
    <xf numFmtId="3" fontId="34" fillId="2" borderId="0" xfId="22" applyNumberFormat="1" applyFont="1" applyFill="1" applyBorder="1" applyProtection="1">
      <alignment/>
      <protection/>
    </xf>
    <xf numFmtId="3" fontId="12" fillId="2" borderId="0" xfId="0" applyNumberFormat="1" applyFont="1" applyFill="1"/>
    <xf numFmtId="3" fontId="4" fillId="2" borderId="0" xfId="22" applyNumberFormat="1" applyFont="1" applyFill="1" applyBorder="1" applyProtection="1">
      <alignment/>
      <protection/>
    </xf>
    <xf numFmtId="3" fontId="4" fillId="2" borderId="0" xfId="22" applyNumberFormat="1" applyFont="1" applyFill="1" applyBorder="1" applyAlignment="1" applyProtection="1">
      <alignment horizontal="left" indent="1"/>
      <protection/>
    </xf>
    <xf numFmtId="0" fontId="9" fillId="0" borderId="0" xfId="22" applyFont="1" applyAlignment="1">
      <alignment horizontal="left" indent="1"/>
      <protection/>
    </xf>
    <xf numFmtId="0" fontId="4" fillId="0" borderId="0" xfId="22" applyFont="1" applyAlignment="1" applyProtection="1">
      <alignment horizontal="center"/>
      <protection/>
    </xf>
    <xf numFmtId="9" fontId="29" fillId="0" borderId="0" xfId="22" applyNumberFormat="1" applyFont="1" applyAlignment="1">
      <alignment horizontal="right" indent="1"/>
      <protection/>
    </xf>
    <xf numFmtId="0" fontId="4" fillId="0" borderId="0" xfId="0" applyFont="1" applyAlignment="1">
      <alignment horizontal="left" indent="1"/>
    </xf>
    <xf numFmtId="0" fontId="21" fillId="0" borderId="0" xfId="0" applyFont="1"/>
    <xf numFmtId="0" fontId="9" fillId="0" borderId="0" xfId="22" applyFont="1" applyBorder="1" applyProtection="1">
      <alignment/>
      <protection locked="0"/>
    </xf>
    <xf numFmtId="3" fontId="23" fillId="0" borderId="0" xfId="22" applyNumberFormat="1" applyFont="1" applyFill="1" applyBorder="1" applyAlignment="1" applyProtection="1">
      <alignment horizontal="center"/>
      <protection locked="0"/>
    </xf>
    <xf numFmtId="3" fontId="9" fillId="2" borderId="0" xfId="22" applyNumberFormat="1" applyFont="1" applyFill="1" applyBorder="1" applyProtection="1">
      <alignment/>
      <protection locked="0"/>
    </xf>
    <xf numFmtId="0" fontId="19" fillId="0" borderId="0" xfId="0" applyFont="1"/>
    <xf numFmtId="0" fontId="13" fillId="0" borderId="0" xfId="0" applyFont="1" applyAlignment="1">
      <alignment horizontal="left" indent="1"/>
    </xf>
    <xf numFmtId="3" fontId="4" fillId="0" borderId="0" xfId="22" applyNumberFormat="1" applyFont="1" applyFill="1" applyBorder="1" applyProtection="1">
      <alignment/>
      <protection/>
    </xf>
    <xf numFmtId="3" fontId="35" fillId="0" borderId="0" xfId="22" applyNumberFormat="1" applyFont="1" applyBorder="1" applyProtection="1">
      <alignment/>
      <protection/>
    </xf>
    <xf numFmtId="164" fontId="31" fillId="0" borderId="0" xfId="21" applyNumberFormat="1" applyFont="1" applyAlignment="1">
      <alignment horizontal="right"/>
    </xf>
    <xf numFmtId="0" fontId="0" fillId="2" borderId="0" xfId="0" applyFill="1"/>
    <xf numFmtId="0" fontId="10" fillId="2" borderId="29" xfId="0" applyFont="1" applyFill="1" applyBorder="1"/>
    <xf numFmtId="3" fontId="10" fillId="2" borderId="1" xfId="0" applyNumberFormat="1" applyFont="1" applyFill="1" applyBorder="1"/>
    <xf numFmtId="0" fontId="0" fillId="2" borderId="1" xfId="0" applyFill="1" applyBorder="1"/>
    <xf numFmtId="0" fontId="10" fillId="2" borderId="30" xfId="0" applyFont="1" applyFill="1" applyBorder="1"/>
    <xf numFmtId="0" fontId="10" fillId="2" borderId="25" xfId="0" applyFont="1" applyFill="1" applyBorder="1"/>
    <xf numFmtId="3" fontId="10" fillId="2" borderId="0" xfId="0" applyNumberFormat="1" applyFont="1" applyFill="1" applyBorder="1"/>
    <xf numFmtId="0" fontId="0" fillId="2" borderId="0" xfId="0" applyFill="1" applyBorder="1"/>
    <xf numFmtId="0" fontId="10" fillId="2" borderId="4" xfId="0" applyFont="1" applyFill="1" applyBorder="1"/>
    <xf numFmtId="0" fontId="10" fillId="2" borderId="3" xfId="0" applyFont="1" applyFill="1" applyBorder="1"/>
    <xf numFmtId="3" fontId="10" fillId="2" borderId="31" xfId="0" applyNumberFormat="1" applyFont="1" applyFill="1" applyBorder="1"/>
    <xf numFmtId="0" fontId="0" fillId="2" borderId="31" xfId="0" applyFill="1" applyBorder="1"/>
    <xf numFmtId="0" fontId="10" fillId="2" borderId="2" xfId="0" applyFont="1" applyFill="1" applyBorder="1"/>
    <xf numFmtId="0" fontId="8" fillId="2" borderId="0" xfId="0" applyFont="1" applyFill="1"/>
    <xf numFmtId="0" fontId="10" fillId="9" borderId="29" xfId="0" applyFont="1" applyFill="1" applyBorder="1"/>
    <xf numFmtId="3" fontId="10" fillId="9" borderId="1" xfId="0" applyNumberFormat="1" applyFont="1" applyFill="1" applyBorder="1"/>
    <xf numFmtId="0" fontId="0" fillId="9" borderId="1" xfId="0" applyFill="1" applyBorder="1"/>
    <xf numFmtId="0" fontId="0" fillId="9" borderId="30" xfId="0" applyFill="1" applyBorder="1"/>
    <xf numFmtId="0" fontId="10" fillId="9" borderId="25" xfId="0" applyFont="1" applyFill="1" applyBorder="1"/>
    <xf numFmtId="3" fontId="10" fillId="9" borderId="0" xfId="0" applyNumberFormat="1" applyFont="1" applyFill="1" applyBorder="1"/>
    <xf numFmtId="9" fontId="0" fillId="9" borderId="0" xfId="0" applyNumberFormat="1" applyFill="1" applyBorder="1"/>
    <xf numFmtId="0" fontId="0" fillId="9" borderId="0" xfId="0" applyFill="1" applyBorder="1"/>
    <xf numFmtId="0" fontId="0" fillId="9" borderId="4" xfId="0" applyFill="1" applyBorder="1"/>
    <xf numFmtId="0" fontId="10" fillId="9" borderId="3" xfId="0" applyFont="1" applyFill="1" applyBorder="1"/>
    <xf numFmtId="3" fontId="10" fillId="9" borderId="31" xfId="0" applyNumberFormat="1" applyFont="1" applyFill="1" applyBorder="1"/>
    <xf numFmtId="0" fontId="0" fillId="9" borderId="31" xfId="0" applyFill="1" applyBorder="1"/>
    <xf numFmtId="0" fontId="0" fillId="9" borderId="2" xfId="0" applyFill="1" applyBorder="1"/>
    <xf numFmtId="0" fontId="0" fillId="2" borderId="29" xfId="0" applyFill="1" applyBorder="1"/>
    <xf numFmtId="3" fontId="0" fillId="2" borderId="1" xfId="0" applyNumberFormat="1" applyFont="1" applyFill="1" applyBorder="1"/>
    <xf numFmtId="0" fontId="0" fillId="2" borderId="30" xfId="0" applyFill="1" applyBorder="1"/>
    <xf numFmtId="0" fontId="0" fillId="2" borderId="3" xfId="0" applyFill="1" applyBorder="1"/>
    <xf numFmtId="3" fontId="0" fillId="2" borderId="31" xfId="0" applyNumberFormat="1" applyFont="1" applyFill="1" applyBorder="1"/>
    <xf numFmtId="0" fontId="0" fillId="2" borderId="2" xfId="0" applyFill="1" applyBorder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9" borderId="32" xfId="0" applyFont="1" applyFill="1" applyBorder="1"/>
    <xf numFmtId="3" fontId="10" fillId="9" borderId="33" xfId="0" applyNumberFormat="1" applyFont="1" applyFill="1" applyBorder="1"/>
    <xf numFmtId="0" fontId="0" fillId="9" borderId="33" xfId="0" applyFill="1" applyBorder="1"/>
    <xf numFmtId="0" fontId="0" fillId="9" borderId="23" xfId="0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23" fillId="2" borderId="0" xfId="0" applyFont="1" applyFill="1"/>
    <xf numFmtId="0" fontId="0" fillId="2" borderId="0" xfId="0" applyFill="1" applyAlignment="1">
      <alignment horizontal="left" indent="1"/>
    </xf>
    <xf numFmtId="3" fontId="10" fillId="3" borderId="34" xfId="0" applyNumberFormat="1" applyFont="1" applyFill="1" applyBorder="1" applyAlignment="1">
      <alignment horizontal="right" indent="1"/>
    </xf>
    <xf numFmtId="0" fontId="12" fillId="2" borderId="0" xfId="0" applyFont="1" applyFill="1" applyAlignment="1">
      <alignment horizontal="right"/>
    </xf>
    <xf numFmtId="164" fontId="38" fillId="2" borderId="0" xfId="0" applyNumberFormat="1" applyFont="1" applyFill="1" applyAlignment="1">
      <alignment horizontal="center"/>
    </xf>
    <xf numFmtId="0" fontId="9" fillId="2" borderId="0" xfId="0" applyFont="1" applyFill="1"/>
    <xf numFmtId="9" fontId="3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indent="1"/>
    </xf>
    <xf numFmtId="164" fontId="11" fillId="2" borderId="0" xfId="0" applyNumberFormat="1" applyFont="1" applyFill="1"/>
    <xf numFmtId="0" fontId="17" fillId="2" borderId="0" xfId="0" applyFont="1" applyFill="1"/>
    <xf numFmtId="0" fontId="11" fillId="2" borderId="0" xfId="0" applyFont="1" applyFill="1"/>
    <xf numFmtId="3" fontId="10" fillId="2" borderId="0" xfId="21" applyNumberFormat="1" applyFont="1" applyFill="1" applyAlignment="1">
      <alignment horizontal="right" indent="1"/>
    </xf>
    <xf numFmtId="3" fontId="10" fillId="2" borderId="0" xfId="0" applyNumberFormat="1" applyFont="1" applyFill="1" applyAlignment="1">
      <alignment horizontal="right" indent="1"/>
    </xf>
    <xf numFmtId="3" fontId="43" fillId="0" borderId="0" xfId="0" applyNumberFormat="1" applyFont="1" applyAlignment="1">
      <alignment horizontal="center"/>
    </xf>
    <xf numFmtId="9" fontId="0" fillId="2" borderId="0" xfId="0" applyNumberFormat="1" applyFill="1"/>
    <xf numFmtId="0" fontId="31" fillId="2" borderId="0" xfId="20" applyFont="1" applyFill="1" applyAlignment="1">
      <alignment vertical="center"/>
      <protection/>
    </xf>
    <xf numFmtId="3" fontId="0" fillId="0" borderId="0" xfId="0" applyNumberFormat="1" applyFont="1"/>
    <xf numFmtId="3" fontId="32" fillId="0" borderId="0" xfId="0" applyNumberFormat="1" applyFont="1"/>
    <xf numFmtId="165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3" fontId="0" fillId="2" borderId="0" xfId="0" applyNumberFormat="1" applyFill="1"/>
    <xf numFmtId="0" fontId="29" fillId="2" borderId="0" xfId="0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3" fillId="8" borderId="0" xfId="0" applyFont="1" applyFill="1" applyAlignment="1">
      <alignment horizontal="left" vertical="center" indent="1"/>
    </xf>
    <xf numFmtId="0" fontId="12" fillId="8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9" fontId="12" fillId="2" borderId="36" xfId="21" applyFont="1" applyFill="1" applyBorder="1" applyAlignment="1">
      <alignment vertical="center"/>
    </xf>
    <xf numFmtId="9" fontId="12" fillId="2" borderId="37" xfId="21" applyFont="1" applyFill="1" applyBorder="1" applyAlignment="1">
      <alignment vertical="center"/>
    </xf>
    <xf numFmtId="9" fontId="12" fillId="2" borderId="35" xfId="21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9" fontId="10" fillId="2" borderId="37" xfId="21" applyFont="1" applyFill="1" applyBorder="1" applyAlignment="1">
      <alignment vertical="center"/>
    </xf>
    <xf numFmtId="166" fontId="10" fillId="2" borderId="0" xfId="0" applyNumberFormat="1" applyFont="1" applyFill="1" applyAlignment="1">
      <alignment vertical="center"/>
    </xf>
    <xf numFmtId="0" fontId="48" fillId="2" borderId="0" xfId="28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13" fillId="10" borderId="1" xfId="0" applyFont="1" applyFill="1" applyBorder="1" applyAlignment="1">
      <alignment horizontal="right" vertical="center"/>
    </xf>
    <xf numFmtId="3" fontId="7" fillId="0" borderId="23" xfId="22" applyNumberFormat="1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3" fontId="9" fillId="6" borderId="10" xfId="0" applyNumberFormat="1" applyFont="1" applyFill="1" applyBorder="1" applyAlignment="1">
      <alignment vertical="center"/>
    </xf>
    <xf numFmtId="0" fontId="45" fillId="11" borderId="0" xfId="0" applyFont="1" applyFill="1" applyAlignment="1">
      <alignment horizontal="left"/>
    </xf>
    <xf numFmtId="3" fontId="12" fillId="8" borderId="10" xfId="0" applyNumberFormat="1" applyFont="1" applyFill="1" applyBorder="1" applyAlignment="1">
      <alignment horizontal="right" indent="2"/>
    </xf>
    <xf numFmtId="3" fontId="12" fillId="8" borderId="11" xfId="0" applyNumberFormat="1" applyFont="1" applyFill="1" applyBorder="1" applyAlignment="1">
      <alignment horizontal="right" indent="2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/>
    <xf numFmtId="0" fontId="4" fillId="2" borderId="0" xfId="22" applyFont="1" applyFill="1" applyAlignment="1" applyProtection="1" quotePrefix="1">
      <alignment horizontal="center" vertical="center" wrapText="1"/>
      <protection/>
    </xf>
    <xf numFmtId="0" fontId="4" fillId="2" borderId="0" xfId="22" applyFont="1" applyFill="1" applyBorder="1" applyAlignment="1" applyProtection="1">
      <alignment horizontal="center"/>
      <protection/>
    </xf>
    <xf numFmtId="3" fontId="23" fillId="11" borderId="10" xfId="22" applyNumberFormat="1" applyFont="1" applyFill="1" applyBorder="1" applyAlignment="1" applyProtection="1">
      <alignment horizontal="center"/>
      <protection locked="0"/>
    </xf>
    <xf numFmtId="0" fontId="4" fillId="0" borderId="21" xfId="22" applyFont="1" applyBorder="1" applyAlignment="1" applyProtection="1">
      <alignment horizontal="center"/>
      <protection/>
    </xf>
    <xf numFmtId="3" fontId="9" fillId="0" borderId="21" xfId="22" applyNumberFormat="1" applyFont="1" applyFill="1" applyBorder="1" applyProtection="1">
      <alignment/>
      <protection locked="0"/>
    </xf>
    <xf numFmtId="3" fontId="33" fillId="0" borderId="21" xfId="22" applyNumberFormat="1" applyFont="1" applyBorder="1" applyProtection="1">
      <alignment/>
      <protection/>
    </xf>
    <xf numFmtId="3" fontId="4" fillId="0" borderId="21" xfId="22" applyNumberFormat="1" applyFont="1" applyBorder="1" applyProtection="1">
      <alignment/>
      <protection/>
    </xf>
    <xf numFmtId="3" fontId="4" fillId="0" borderId="22" xfId="22" applyNumberFormat="1" applyFont="1" applyBorder="1" applyProtection="1">
      <alignment/>
      <protection/>
    </xf>
    <xf numFmtId="3" fontId="32" fillId="2" borderId="39" xfId="22" applyNumberFormat="1" applyFont="1" applyFill="1" applyBorder="1" applyAlignment="1" applyProtection="1">
      <alignment horizontal="right"/>
      <protection locked="0"/>
    </xf>
    <xf numFmtId="3" fontId="9" fillId="8" borderId="39" xfId="22" applyNumberFormat="1" applyFont="1" applyFill="1" applyBorder="1" applyProtection="1">
      <alignment/>
      <protection locked="0"/>
    </xf>
    <xf numFmtId="3" fontId="9" fillId="8" borderId="30" xfId="22" applyNumberFormat="1" applyFont="1" applyFill="1" applyBorder="1" applyProtection="1">
      <alignment/>
      <protection locked="0"/>
    </xf>
    <xf numFmtId="3" fontId="9" fillId="8" borderId="40" xfId="22" applyNumberFormat="1" applyFont="1" applyFill="1" applyBorder="1" applyProtection="1">
      <alignment/>
      <protection locked="0"/>
    </xf>
    <xf numFmtId="3" fontId="13" fillId="11" borderId="32" xfId="0" applyNumberFormat="1" applyFont="1" applyFill="1" applyBorder="1"/>
    <xf numFmtId="0" fontId="4" fillId="2" borderId="41" xfId="22" applyFont="1" applyFill="1" applyBorder="1" applyProtection="1">
      <alignment/>
      <protection/>
    </xf>
    <xf numFmtId="0" fontId="4" fillId="2" borderId="21" xfId="22" applyFont="1" applyFill="1" applyBorder="1" applyAlignment="1" applyProtection="1">
      <alignment horizontal="center"/>
      <protection/>
    </xf>
    <xf numFmtId="3" fontId="4" fillId="2" borderId="20" xfId="22" applyNumberFormat="1" applyFont="1" applyFill="1" applyBorder="1" applyProtection="1">
      <alignment/>
      <protection/>
    </xf>
    <xf numFmtId="3" fontId="4" fillId="2" borderId="21" xfId="22" applyNumberFormat="1" applyFont="1" applyFill="1" applyBorder="1" applyProtection="1">
      <alignment/>
      <protection/>
    </xf>
    <xf numFmtId="3" fontId="4" fillId="2" borderId="22" xfId="22" applyNumberFormat="1" applyFont="1" applyFill="1" applyBorder="1" applyProtection="1">
      <alignment/>
      <protection/>
    </xf>
    <xf numFmtId="3" fontId="46" fillId="2" borderId="0" xfId="22" applyNumberFormat="1" applyFont="1" applyFill="1" applyBorder="1" applyAlignment="1" applyProtection="1">
      <alignment horizontal="center"/>
      <protection/>
    </xf>
    <xf numFmtId="3" fontId="50" fillId="2" borderId="10" xfId="22" applyNumberFormat="1" applyFont="1" applyFill="1" applyBorder="1" applyProtection="1">
      <alignment/>
      <protection locked="0"/>
    </xf>
    <xf numFmtId="0" fontId="47" fillId="0" borderId="0" xfId="0" applyFont="1" applyAlignment="1">
      <alignment horizontal="left" indent="1"/>
    </xf>
    <xf numFmtId="0" fontId="18" fillId="2" borderId="0" xfId="22" applyFont="1" applyFill="1" applyAlignment="1" applyProtection="1">
      <alignment horizontal="center"/>
      <protection/>
    </xf>
    <xf numFmtId="0" fontId="4" fillId="0" borderId="0" xfId="0" applyFont="1" applyAlignment="1">
      <alignment horizontal="left" vertical="center" indent="1"/>
    </xf>
    <xf numFmtId="0" fontId="51" fillId="0" borderId="0" xfId="0" applyFont="1"/>
    <xf numFmtId="0" fontId="31" fillId="0" borderId="0" xfId="22" applyFont="1" applyBorder="1" applyAlignment="1" applyProtection="1">
      <alignment horizontal="center"/>
      <protection/>
    </xf>
    <xf numFmtId="3" fontId="31" fillId="0" borderId="0" xfId="22" applyNumberFormat="1" applyFont="1" applyBorder="1" applyProtection="1">
      <alignment/>
      <protection/>
    </xf>
    <xf numFmtId="0" fontId="31" fillId="0" borderId="0" xfId="22" applyFont="1" applyBorder="1" applyProtection="1">
      <alignment/>
      <protection/>
    </xf>
    <xf numFmtId="3" fontId="50" fillId="2" borderId="32" xfId="22" applyNumberFormat="1" applyFont="1" applyFill="1" applyBorder="1" applyProtection="1">
      <alignment/>
      <protection locked="0"/>
    </xf>
    <xf numFmtId="0" fontId="9" fillId="0" borderId="17" xfId="22" applyFont="1" applyBorder="1" applyProtection="1">
      <alignment/>
      <protection locked="0"/>
    </xf>
    <xf numFmtId="3" fontId="23" fillId="0" borderId="42" xfId="22" applyNumberFormat="1" applyFont="1" applyFill="1" applyBorder="1" applyAlignment="1" applyProtection="1">
      <alignment horizontal="center"/>
      <protection locked="0"/>
    </xf>
    <xf numFmtId="0" fontId="50" fillId="0" borderId="12" xfId="22" applyFont="1" applyBorder="1" applyAlignment="1" applyProtection="1">
      <alignment horizontal="right" indent="1"/>
      <protection/>
    </xf>
    <xf numFmtId="3" fontId="50" fillId="2" borderId="11" xfId="22" applyNumberFormat="1" applyFont="1" applyFill="1" applyBorder="1" applyProtection="1">
      <alignment/>
      <protection locked="0"/>
    </xf>
    <xf numFmtId="3" fontId="9" fillId="8" borderId="15" xfId="22" applyNumberFormat="1" applyFont="1" applyFill="1" applyBorder="1" applyProtection="1">
      <alignment/>
      <protection/>
    </xf>
    <xf numFmtId="3" fontId="9" fillId="8" borderId="16" xfId="22" applyNumberFormat="1" applyFont="1" applyFill="1" applyBorder="1" applyProtection="1">
      <alignment/>
      <protection/>
    </xf>
    <xf numFmtId="3" fontId="4" fillId="0" borderId="32" xfId="22" applyNumberFormat="1" applyFont="1" applyBorder="1" applyProtection="1">
      <alignment/>
      <protection/>
    </xf>
    <xf numFmtId="3" fontId="4" fillId="0" borderId="20" xfId="22" applyNumberFormat="1" applyFont="1" applyBorder="1" applyProtection="1">
      <alignment/>
      <protection/>
    </xf>
    <xf numFmtId="3" fontId="9" fillId="0" borderId="21" xfId="22" applyNumberFormat="1" applyFont="1" applyBorder="1" applyProtection="1">
      <alignment/>
      <protection/>
    </xf>
    <xf numFmtId="3" fontId="9" fillId="0" borderId="22" xfId="22" applyNumberFormat="1" applyFont="1" applyBorder="1" applyProtection="1">
      <alignment/>
      <protection/>
    </xf>
    <xf numFmtId="0" fontId="31" fillId="12" borderId="41" xfId="22" applyFont="1" applyFill="1" applyBorder="1" applyAlignment="1" applyProtection="1">
      <alignment/>
      <protection/>
    </xf>
    <xf numFmtId="0" fontId="31" fillId="12" borderId="20" xfId="22" applyFont="1" applyFill="1" applyBorder="1" applyAlignment="1" applyProtection="1">
      <alignment/>
      <protection/>
    </xf>
    <xf numFmtId="0" fontId="6" fillId="12" borderId="20" xfId="0" applyFont="1" applyFill="1" applyBorder="1"/>
    <xf numFmtId="0" fontId="24" fillId="12" borderId="20" xfId="0" applyFont="1" applyFill="1" applyBorder="1"/>
    <xf numFmtId="0" fontId="24" fillId="12" borderId="43" xfId="0" applyFont="1" applyFill="1" applyBorder="1"/>
    <xf numFmtId="3" fontId="4" fillId="2" borderId="32" xfId="0" applyNumberFormat="1" applyFont="1" applyFill="1" applyBorder="1" applyAlignment="1">
      <alignment vertical="center"/>
    </xf>
    <xf numFmtId="0" fontId="31" fillId="0" borderId="21" xfId="22" applyFont="1" applyBorder="1" applyAlignment="1" applyProtection="1">
      <alignment horizontal="center" vertical="center"/>
      <protection/>
    </xf>
    <xf numFmtId="3" fontId="9" fillId="2" borderId="21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44" fillId="12" borderId="41" xfId="0" applyFont="1" applyFill="1" applyBorder="1"/>
    <xf numFmtId="0" fontId="0" fillId="12" borderId="20" xfId="0" applyFont="1" applyFill="1" applyBorder="1"/>
    <xf numFmtId="0" fontId="0" fillId="12" borderId="43" xfId="0" applyFont="1" applyFill="1" applyBorder="1"/>
    <xf numFmtId="0" fontId="9" fillId="0" borderId="21" xfId="22" applyFont="1" applyBorder="1" applyAlignment="1" applyProtection="1">
      <alignment horizontal="center"/>
      <protection/>
    </xf>
    <xf numFmtId="3" fontId="23" fillId="0" borderId="20" xfId="22" applyNumberFormat="1" applyFont="1" applyFill="1" applyBorder="1" applyAlignment="1" applyProtection="1">
      <alignment horizontal="center"/>
      <protection locked="0"/>
    </xf>
    <xf numFmtId="3" fontId="9" fillId="2" borderId="21" xfId="22" applyNumberFormat="1" applyFont="1" applyFill="1" applyBorder="1" applyProtection="1">
      <alignment/>
      <protection locked="0"/>
    </xf>
    <xf numFmtId="3" fontId="9" fillId="8" borderId="21" xfId="22" applyNumberFormat="1" applyFont="1" applyFill="1" applyBorder="1" applyProtection="1">
      <alignment/>
      <protection locked="0"/>
    </xf>
    <xf numFmtId="3" fontId="9" fillId="8" borderId="22" xfId="22" applyNumberFormat="1" applyFont="1" applyFill="1" applyBorder="1" applyProtection="1">
      <alignment/>
      <protection locked="0"/>
    </xf>
    <xf numFmtId="9" fontId="13" fillId="11" borderId="32" xfId="21" applyFont="1" applyFill="1" applyBorder="1"/>
    <xf numFmtId="9" fontId="4" fillId="2" borderId="21" xfId="21" applyFont="1" applyFill="1" applyBorder="1" applyProtection="1">
      <protection/>
    </xf>
    <xf numFmtId="9" fontId="4" fillId="2" borderId="22" xfId="21" applyFont="1" applyFill="1" applyBorder="1" applyProtection="1">
      <protection/>
    </xf>
    <xf numFmtId="0" fontId="18" fillId="0" borderId="0" xfId="0" applyFont="1" applyAlignment="1">
      <alignment horizontal="left" vertical="center" indent="1"/>
    </xf>
    <xf numFmtId="0" fontId="9" fillId="0" borderId="19" xfId="22" applyFont="1" applyBorder="1" applyAlignment="1" applyProtection="1">
      <alignment wrapText="1"/>
      <protection/>
    </xf>
    <xf numFmtId="0" fontId="12" fillId="10" borderId="1" xfId="0" applyFont="1" applyFill="1" applyBorder="1" applyAlignment="1">
      <alignment horizontal="right" vertical="center"/>
    </xf>
    <xf numFmtId="0" fontId="13" fillId="8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3" fontId="9" fillId="7" borderId="6" xfId="22" applyNumberFormat="1" applyFont="1" applyFill="1" applyBorder="1" applyProtection="1">
      <alignment/>
      <protection locked="0"/>
    </xf>
    <xf numFmtId="0" fontId="37" fillId="2" borderId="0" xfId="0" applyFont="1" applyFill="1"/>
    <xf numFmtId="0" fontId="25" fillId="2" borderId="0" xfId="0" applyFont="1" applyFill="1"/>
    <xf numFmtId="3" fontId="9" fillId="2" borderId="0" xfId="0" applyNumberFormat="1" applyFont="1" applyFill="1"/>
    <xf numFmtId="3" fontId="31" fillId="0" borderId="44" xfId="22" applyNumberFormat="1" applyFont="1" applyFill="1" applyBorder="1" applyAlignment="1" applyProtection="1">
      <alignment horizontal="center"/>
      <protection/>
    </xf>
    <xf numFmtId="0" fontId="12" fillId="0" borderId="4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3" fontId="27" fillId="6" borderId="46" xfId="0" applyNumberFormat="1" applyFont="1" applyFill="1" applyBorder="1" applyAlignment="1">
      <alignment horizontal="right" vertical="center"/>
    </xf>
    <xf numFmtId="3" fontId="7" fillId="0" borderId="47" xfId="22" applyNumberFormat="1" applyFont="1" applyFill="1" applyBorder="1" applyAlignment="1" applyProtection="1">
      <alignment horizontal="center" vertical="center"/>
      <protection locked="0"/>
    </xf>
    <xf numFmtId="3" fontId="27" fillId="6" borderId="11" xfId="0" applyNumberFormat="1" applyFont="1" applyFill="1" applyBorder="1" applyAlignment="1">
      <alignment horizontal="right" vertical="center"/>
    </xf>
    <xf numFmtId="3" fontId="7" fillId="0" borderId="48" xfId="22" applyNumberFormat="1" applyFont="1" applyFill="1" applyBorder="1" applyAlignment="1" applyProtection="1">
      <alignment horizontal="center" vertical="center"/>
      <protection locked="0"/>
    </xf>
    <xf numFmtId="3" fontId="12" fillId="8" borderId="45" xfId="0" applyNumberFormat="1" applyFont="1" applyFill="1" applyBorder="1" applyAlignment="1">
      <alignment horizontal="right" vertical="center"/>
    </xf>
    <xf numFmtId="3" fontId="12" fillId="8" borderId="10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horizontal="center"/>
    </xf>
    <xf numFmtId="3" fontId="12" fillId="8" borderId="11" xfId="0" applyNumberFormat="1" applyFont="1" applyFill="1" applyBorder="1" applyAlignment="1">
      <alignment horizontal="right" vertical="center"/>
    </xf>
    <xf numFmtId="3" fontId="12" fillId="2" borderId="13" xfId="0" applyNumberFormat="1" applyFont="1" applyFill="1" applyBorder="1" applyAlignment="1">
      <alignment horizontal="right" vertical="center"/>
    </xf>
    <xf numFmtId="3" fontId="12" fillId="2" borderId="26" xfId="0" applyNumberFormat="1" applyFont="1" applyFill="1" applyBorder="1" applyAlignment="1">
      <alignment horizontal="right" vertical="center"/>
    </xf>
    <xf numFmtId="3" fontId="27" fillId="6" borderId="10" xfId="0" applyNumberFormat="1" applyFont="1" applyFill="1" applyBorder="1" applyAlignment="1">
      <alignment horizontal="right" vertical="center"/>
    </xf>
    <xf numFmtId="3" fontId="12" fillId="2" borderId="46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3" fontId="29" fillId="0" borderId="6" xfId="0" applyNumberFormat="1" applyFont="1" applyFill="1" applyBorder="1" applyAlignment="1">
      <alignment horizontal="center" vertical="center"/>
    </xf>
    <xf numFmtId="3" fontId="7" fillId="0" borderId="50" xfId="22" applyNumberFormat="1" applyFont="1" applyFill="1" applyBorder="1" applyAlignment="1" applyProtection="1">
      <alignment horizontal="center"/>
      <protection locked="0"/>
    </xf>
    <xf numFmtId="3" fontId="12" fillId="8" borderId="6" xfId="0" applyNumberFormat="1" applyFont="1" applyFill="1" applyBorder="1" applyAlignment="1">
      <alignment horizontal="right" indent="2"/>
    </xf>
    <xf numFmtId="3" fontId="12" fillId="8" borderId="7" xfId="0" applyNumberFormat="1" applyFont="1" applyFill="1" applyBorder="1" applyAlignment="1">
      <alignment horizontal="right" indent="2"/>
    </xf>
    <xf numFmtId="0" fontId="12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7" fillId="0" borderId="51" xfId="22" applyNumberFormat="1" applyFont="1" applyFill="1" applyBorder="1" applyAlignment="1" applyProtection="1">
      <alignment horizontal="center"/>
      <protection locked="0"/>
    </xf>
    <xf numFmtId="3" fontId="12" fillId="2" borderId="21" xfId="0" applyNumberFormat="1" applyFont="1" applyFill="1" applyBorder="1" applyAlignment="1">
      <alignment horizontal="right" indent="2"/>
    </xf>
    <xf numFmtId="3" fontId="12" fillId="2" borderId="22" xfId="0" applyNumberFormat="1" applyFont="1" applyFill="1" applyBorder="1" applyAlignment="1">
      <alignment horizontal="right" indent="2"/>
    </xf>
    <xf numFmtId="3" fontId="9" fillId="6" borderId="6" xfId="0" applyNumberFormat="1" applyFont="1" applyFill="1" applyBorder="1" applyAlignment="1">
      <alignment vertical="center"/>
    </xf>
    <xf numFmtId="3" fontId="9" fillId="6" borderId="2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166" fontId="9" fillId="2" borderId="52" xfId="0" applyNumberFormat="1" applyFont="1" applyFill="1" applyBorder="1" applyAlignment="1">
      <alignment horizontal="right" vertical="center"/>
    </xf>
    <xf numFmtId="166" fontId="6" fillId="2" borderId="52" xfId="0" applyNumberFormat="1" applyFont="1" applyFill="1" applyBorder="1" applyAlignment="1">
      <alignment horizontal="right" vertical="center"/>
    </xf>
    <xf numFmtId="166" fontId="9" fillId="2" borderId="53" xfId="0" applyNumberFormat="1" applyFont="1" applyFill="1" applyBorder="1" applyAlignment="1">
      <alignment horizontal="right" vertical="center"/>
    </xf>
    <xf numFmtId="166" fontId="6" fillId="2" borderId="53" xfId="0" applyNumberFormat="1" applyFont="1" applyFill="1" applyBorder="1" applyAlignment="1">
      <alignment horizontal="right" vertical="center"/>
    </xf>
    <xf numFmtId="0" fontId="57" fillId="0" borderId="0" xfId="20" applyFont="1" applyFill="1" applyAlignment="1">
      <alignment vertical="center"/>
      <protection/>
    </xf>
    <xf numFmtId="0" fontId="10" fillId="2" borderId="54" xfId="0" applyFont="1" applyFill="1" applyBorder="1" applyAlignment="1">
      <alignment horizontal="right" vertical="center" indent="1"/>
    </xf>
    <xf numFmtId="0" fontId="10" fillId="2" borderId="54" xfId="0" applyFont="1" applyFill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55" fillId="2" borderId="54" xfId="0" applyNumberFormat="1" applyFont="1" applyFill="1" applyBorder="1" applyAlignment="1">
      <alignment vertical="center"/>
    </xf>
    <xf numFmtId="167" fontId="10" fillId="2" borderId="54" xfId="0" applyNumberFormat="1" applyFont="1" applyFill="1" applyBorder="1" applyAlignment="1">
      <alignment vertical="center"/>
    </xf>
    <xf numFmtId="3" fontId="0" fillId="2" borderId="54" xfId="0" applyNumberFormat="1" applyFont="1" applyFill="1" applyBorder="1" applyAlignment="1">
      <alignment vertical="center"/>
    </xf>
    <xf numFmtId="0" fontId="10" fillId="2" borderId="55" xfId="0" applyFont="1" applyFill="1" applyBorder="1" applyAlignment="1">
      <alignment horizontal="right" vertical="center" indent="1"/>
    </xf>
    <xf numFmtId="0" fontId="10" fillId="2" borderId="55" xfId="0" applyFont="1" applyFill="1" applyBorder="1" applyAlignment="1">
      <alignment vertical="center"/>
    </xf>
    <xf numFmtId="3" fontId="10" fillId="2" borderId="55" xfId="0" applyNumberFormat="1" applyFont="1" applyFill="1" applyBorder="1" applyAlignment="1">
      <alignment vertical="center"/>
    </xf>
    <xf numFmtId="167" fontId="10" fillId="2" borderId="55" xfId="0" applyNumberFormat="1" applyFont="1" applyFill="1" applyBorder="1" applyAlignment="1">
      <alignment vertical="center"/>
    </xf>
    <xf numFmtId="3" fontId="0" fillId="2" borderId="55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0" fillId="13" borderId="0" xfId="0" applyNumberFormat="1" applyFont="1" applyFill="1" applyAlignment="1">
      <alignment horizontal="right" vertical="center"/>
    </xf>
    <xf numFmtId="0" fontId="10" fillId="14" borderId="0" xfId="0" applyFont="1" applyFill="1" applyAlignment="1">
      <alignment horizontal="left" vertical="center"/>
    </xf>
    <xf numFmtId="3" fontId="13" fillId="5" borderId="1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horizontal="left" vertical="center"/>
    </xf>
    <xf numFmtId="3" fontId="10" fillId="12" borderId="0" xfId="0" applyNumberFormat="1" applyFont="1" applyFill="1" applyAlignment="1">
      <alignment horizontal="right" vertical="center"/>
    </xf>
    <xf numFmtId="0" fontId="4" fillId="1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4" fillId="2" borderId="52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 wrapText="1"/>
    </xf>
    <xf numFmtId="0" fontId="9" fillId="0" borderId="56" xfId="22" applyFont="1" applyBorder="1" applyProtection="1">
      <alignment/>
      <protection/>
    </xf>
    <xf numFmtId="3" fontId="32" fillId="2" borderId="49" xfId="22" applyNumberFormat="1" applyFont="1" applyFill="1" applyBorder="1" applyAlignment="1" applyProtection="1">
      <alignment horizontal="right"/>
      <protection locked="0"/>
    </xf>
    <xf numFmtId="3" fontId="32" fillId="2" borderId="57" xfId="22" applyNumberFormat="1" applyFont="1" applyFill="1" applyBorder="1" applyAlignment="1" applyProtection="1">
      <alignment horizontal="right"/>
      <protection locked="0"/>
    </xf>
    <xf numFmtId="3" fontId="9" fillId="8" borderId="57" xfId="22" applyNumberFormat="1" applyFont="1" applyFill="1" applyBorder="1" applyProtection="1">
      <alignment/>
      <protection locked="0"/>
    </xf>
    <xf numFmtId="3" fontId="9" fillId="8" borderId="2" xfId="22" applyNumberFormat="1" applyFont="1" applyFill="1" applyBorder="1" applyProtection="1">
      <alignment/>
      <protection locked="0"/>
    </xf>
    <xf numFmtId="3" fontId="9" fillId="8" borderId="58" xfId="22" applyNumberFormat="1" applyFont="1" applyFill="1" applyBorder="1" applyProtection="1">
      <alignment/>
      <protection locked="0"/>
    </xf>
    <xf numFmtId="0" fontId="9" fillId="0" borderId="59" xfId="22" applyFont="1" applyBorder="1" applyAlignment="1" applyProtection="1">
      <alignment horizontal="center"/>
      <protection/>
    </xf>
    <xf numFmtId="3" fontId="23" fillId="0" borderId="28" xfId="22" applyNumberFormat="1" applyFont="1" applyFill="1" applyBorder="1" applyAlignment="1" applyProtection="1">
      <alignment horizontal="center"/>
      <protection locked="0"/>
    </xf>
    <xf numFmtId="1" fontId="12" fillId="2" borderId="36" xfId="21" applyNumberFormat="1" applyFont="1" applyFill="1" applyBorder="1" applyAlignment="1">
      <alignment vertical="center"/>
    </xf>
    <xf numFmtId="1" fontId="12" fillId="2" borderId="37" xfId="21" applyNumberFormat="1" applyFont="1" applyFill="1" applyBorder="1" applyAlignment="1">
      <alignment vertical="center"/>
    </xf>
    <xf numFmtId="1" fontId="12" fillId="2" borderId="35" xfId="21" applyNumberFormat="1" applyFont="1" applyFill="1" applyBorder="1" applyAlignment="1">
      <alignment vertical="center"/>
    </xf>
    <xf numFmtId="1" fontId="10" fillId="2" borderId="37" xfId="21" applyNumberFormat="1" applyFont="1" applyFill="1" applyBorder="1" applyAlignment="1">
      <alignment vertical="center"/>
    </xf>
    <xf numFmtId="165" fontId="30" fillId="8" borderId="0" xfId="0" applyNumberFormat="1" applyFont="1" applyFill="1" applyAlignment="1">
      <alignment vertical="center"/>
    </xf>
    <xf numFmtId="3" fontId="30" fillId="8" borderId="0" xfId="0" applyNumberFormat="1" applyFont="1" applyFill="1" applyAlignment="1">
      <alignment vertical="center"/>
    </xf>
    <xf numFmtId="165" fontId="30" fillId="8" borderId="0" xfId="0" applyNumberFormat="1" applyFont="1" applyFill="1" applyAlignment="1">
      <alignment horizontal="right" vertical="center"/>
    </xf>
    <xf numFmtId="165" fontId="30" fillId="8" borderId="1" xfId="0" applyNumberFormat="1" applyFont="1" applyFill="1" applyBorder="1" applyAlignment="1">
      <alignment vertical="center"/>
    </xf>
    <xf numFmtId="3" fontId="30" fillId="8" borderId="1" xfId="0" applyNumberFormat="1" applyFont="1" applyFill="1" applyBorder="1" applyAlignment="1">
      <alignment vertical="center"/>
    </xf>
    <xf numFmtId="0" fontId="62" fillId="16" borderId="0" xfId="0" applyFont="1" applyFill="1" applyAlignment="1">
      <alignment horizontal="right" vertical="center"/>
    </xf>
    <xf numFmtId="0" fontId="62" fillId="16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10" fontId="10" fillId="3" borderId="34" xfId="21" applyNumberFormat="1" applyFont="1" applyFill="1" applyBorder="1" applyAlignment="1">
      <alignment horizontal="right" indent="1"/>
    </xf>
    <xf numFmtId="9" fontId="12" fillId="0" borderId="0" xfId="21" applyFont="1"/>
    <xf numFmtId="0" fontId="10" fillId="5" borderId="0" xfId="0" applyFont="1" applyFill="1" applyAlignment="1">
      <alignment horizontal="center" vertical="center"/>
    </xf>
    <xf numFmtId="0" fontId="57" fillId="2" borderId="0" xfId="20" applyFont="1" applyFill="1" applyAlignment="1">
      <alignment vertical="center"/>
      <protection/>
    </xf>
    <xf numFmtId="0" fontId="60" fillId="2" borderId="0" xfId="20" applyFont="1" applyFill="1" applyBorder="1" applyAlignment="1">
      <alignment vertical="center"/>
      <protection/>
    </xf>
    <xf numFmtId="0" fontId="57" fillId="2" borderId="0" xfId="20" applyFont="1" applyFill="1" applyBorder="1" applyAlignment="1">
      <alignment vertical="center"/>
      <protection/>
    </xf>
    <xf numFmtId="169" fontId="57" fillId="2" borderId="0" xfId="20" applyNumberFormat="1" applyFont="1" applyFill="1" applyAlignment="1">
      <alignment horizontal="right" vertical="center"/>
      <protection/>
    </xf>
    <xf numFmtId="0" fontId="57" fillId="2" borderId="0" xfId="20" applyFont="1" applyFill="1" applyAlignment="1">
      <alignment horizontal="center" vertical="center"/>
      <protection/>
    </xf>
    <xf numFmtId="0" fontId="4" fillId="2" borderId="0" xfId="20" applyFont="1" applyFill="1" applyAlignment="1">
      <alignment horizontal="left" vertical="center"/>
      <protection/>
    </xf>
    <xf numFmtId="0" fontId="60" fillId="2" borderId="0" xfId="20" applyFont="1" applyFill="1" applyAlignment="1">
      <alignment vertical="center"/>
      <protection/>
    </xf>
    <xf numFmtId="0" fontId="10" fillId="13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65" fillId="1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3" fontId="13" fillId="13" borderId="1" xfId="0" applyNumberFormat="1" applyFont="1" applyFill="1" applyBorder="1" applyAlignment="1">
      <alignment horizontal="center" vertical="center"/>
    </xf>
    <xf numFmtId="169" fontId="13" fillId="13" borderId="1" xfId="0" applyNumberFormat="1" applyFont="1" applyFill="1" applyBorder="1" applyAlignment="1">
      <alignment horizontal="center" vertical="center"/>
    </xf>
    <xf numFmtId="3" fontId="13" fillId="17" borderId="1" xfId="0" applyNumberFormat="1" applyFont="1" applyFill="1" applyBorder="1" applyAlignment="1">
      <alignment horizontal="center" vertical="center"/>
    </xf>
    <xf numFmtId="169" fontId="13" fillId="17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>
      <alignment horizontal="center" vertical="center"/>
    </xf>
    <xf numFmtId="3" fontId="29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9" fillId="2" borderId="0" xfId="20" applyFont="1" applyFill="1" applyBorder="1" applyAlignment="1">
      <alignment horizontal="right"/>
      <protection/>
    </xf>
    <xf numFmtId="0" fontId="4" fillId="2" borderId="0" xfId="20" applyFont="1" applyFill="1" applyAlignment="1">
      <alignment vertical="center"/>
      <protection/>
    </xf>
    <xf numFmtId="169" fontId="57" fillId="2" borderId="0" xfId="20" applyNumberFormat="1" applyFont="1" applyFill="1" applyBorder="1" applyAlignment="1">
      <alignment horizontal="right" vertical="center"/>
      <protection/>
    </xf>
    <xf numFmtId="3" fontId="57" fillId="2" borderId="0" xfId="20" applyNumberFormat="1" applyFont="1" applyFill="1" applyBorder="1" applyAlignment="1">
      <alignment horizontal="right" vertical="center"/>
      <protection/>
    </xf>
    <xf numFmtId="0" fontId="24" fillId="2" borderId="0" xfId="20" applyFont="1" applyFill="1" applyAlignment="1">
      <alignment vertical="center"/>
      <protection/>
    </xf>
    <xf numFmtId="0" fontId="54" fillId="2" borderId="1" xfId="20" applyNumberFormat="1" applyFont="1" applyFill="1" applyBorder="1" applyAlignment="1">
      <alignment horizontal="left" vertical="center"/>
      <protection/>
    </xf>
    <xf numFmtId="0" fontId="58" fillId="2" borderId="0" xfId="0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right" vertical="center"/>
      <protection/>
    </xf>
    <xf numFmtId="4" fontId="57" fillId="2" borderId="0" xfId="20" applyNumberFormat="1" applyFont="1" applyFill="1" applyBorder="1" applyAlignment="1">
      <alignment vertical="center"/>
      <protection/>
    </xf>
    <xf numFmtId="3" fontId="12" fillId="2" borderId="60" xfId="20" applyNumberFormat="1" applyFont="1" applyFill="1" applyBorder="1" applyAlignment="1">
      <alignment horizontal="right" vertical="center"/>
      <protection/>
    </xf>
    <xf numFmtId="3" fontId="12" fillId="2" borderId="61" xfId="20" applyNumberFormat="1" applyFont="1" applyFill="1" applyBorder="1" applyAlignment="1">
      <alignment horizontal="center" vertical="center"/>
      <protection/>
    </xf>
    <xf numFmtId="3" fontId="12" fillId="2" borderId="62" xfId="20" applyNumberFormat="1" applyFont="1" applyFill="1" applyBorder="1" applyAlignment="1">
      <alignment horizontal="center" vertical="center"/>
      <protection/>
    </xf>
    <xf numFmtId="3" fontId="60" fillId="2" borderId="63" xfId="20" applyNumberFormat="1" applyFont="1" applyFill="1" applyBorder="1" applyAlignment="1">
      <alignment vertical="center"/>
      <protection/>
    </xf>
    <xf numFmtId="169" fontId="60" fillId="2" borderId="63" xfId="20" applyNumberFormat="1" applyFont="1" applyFill="1" applyBorder="1" applyAlignment="1">
      <alignment vertical="center"/>
      <protection/>
    </xf>
    <xf numFmtId="0" fontId="54" fillId="2" borderId="0" xfId="20" applyNumberFormat="1" applyFont="1" applyFill="1" applyBorder="1" applyAlignment="1">
      <alignment horizontal="left" vertical="center"/>
      <protection/>
    </xf>
    <xf numFmtId="3" fontId="68" fillId="2" borderId="0" xfId="20" applyNumberFormat="1" applyFont="1" applyFill="1" applyBorder="1" applyAlignment="1">
      <alignment horizontal="left" vertical="center"/>
      <protection/>
    </xf>
    <xf numFmtId="3" fontId="60" fillId="2" borderId="0" xfId="20" applyNumberFormat="1" applyFont="1" applyFill="1" applyBorder="1" applyAlignment="1">
      <alignment vertical="center"/>
      <protection/>
    </xf>
    <xf numFmtId="3" fontId="69" fillId="2" borderId="0" xfId="21" applyNumberFormat="1" applyFont="1" applyFill="1" applyBorder="1" applyAlignment="1">
      <alignment vertical="center"/>
    </xf>
    <xf numFmtId="3" fontId="68" fillId="2" borderId="0" xfId="21" applyNumberFormat="1" applyFont="1" applyFill="1" applyBorder="1" applyAlignment="1">
      <alignment vertical="center"/>
    </xf>
    <xf numFmtId="9" fontId="68" fillId="2" borderId="0" xfId="21" applyFont="1" applyFill="1" applyBorder="1" applyAlignment="1">
      <alignment horizontal="center" vertical="center"/>
    </xf>
    <xf numFmtId="3" fontId="59" fillId="2" borderId="0" xfId="20" applyNumberFormat="1" applyFont="1" applyFill="1" applyBorder="1" applyAlignment="1">
      <alignment horizontal="right" vertical="center"/>
      <protection/>
    </xf>
    <xf numFmtId="169" fontId="59" fillId="2" borderId="0" xfId="20" applyNumberFormat="1" applyFont="1" applyFill="1" applyBorder="1" applyAlignment="1">
      <alignment horizontal="right" vertical="center"/>
      <protection/>
    </xf>
    <xf numFmtId="9" fontId="68" fillId="2" borderId="0" xfId="21" applyFont="1" applyFill="1" applyBorder="1" applyAlignment="1">
      <alignment vertical="center"/>
    </xf>
    <xf numFmtId="4" fontId="68" fillId="2" borderId="0" xfId="21" applyNumberFormat="1" applyFont="1" applyFill="1" applyBorder="1" applyAlignment="1">
      <alignment vertical="center"/>
    </xf>
    <xf numFmtId="9" fontId="29" fillId="2" borderId="0" xfId="21" applyFont="1" applyFill="1" applyBorder="1" applyAlignment="1">
      <alignment vertical="center"/>
    </xf>
    <xf numFmtId="4" fontId="29" fillId="2" borderId="0" xfId="21" applyNumberFormat="1" applyFont="1" applyFill="1" applyBorder="1" applyAlignment="1">
      <alignment vertical="center"/>
    </xf>
    <xf numFmtId="169" fontId="28" fillId="2" borderId="0" xfId="20" applyNumberFormat="1" applyFont="1" applyFill="1" applyBorder="1" applyAlignment="1">
      <alignment horizontal="center" vertical="center"/>
      <protection/>
    </xf>
    <xf numFmtId="2" fontId="60" fillId="2" borderId="0" xfId="20" applyNumberFormat="1" applyFont="1" applyFill="1" applyBorder="1" applyAlignment="1">
      <alignment vertical="center"/>
      <protection/>
    </xf>
    <xf numFmtId="2" fontId="60" fillId="2" borderId="0" xfId="20" applyNumberFormat="1" applyFont="1" applyFill="1" applyAlignment="1">
      <alignment vertical="center"/>
      <protection/>
    </xf>
    <xf numFmtId="169" fontId="60" fillId="2" borderId="0" xfId="20" applyNumberFormat="1" applyFont="1" applyFill="1" applyBorder="1" applyAlignment="1">
      <alignment horizontal="right" vertical="center"/>
      <protection/>
    </xf>
    <xf numFmtId="2" fontId="60" fillId="2" borderId="0" xfId="20" applyNumberFormat="1" applyFont="1" applyFill="1" applyAlignment="1">
      <alignment horizontal="center" vertical="center"/>
      <protection/>
    </xf>
    <xf numFmtId="3" fontId="60" fillId="2" borderId="0" xfId="20" applyNumberFormat="1" applyFont="1" applyFill="1" applyBorder="1" applyAlignment="1">
      <alignment horizontal="right" vertical="center"/>
      <protection/>
    </xf>
    <xf numFmtId="4" fontId="60" fillId="2" borderId="0" xfId="20" applyNumberFormat="1" applyFont="1" applyFill="1" applyAlignment="1">
      <alignment vertical="center"/>
      <protection/>
    </xf>
    <xf numFmtId="3" fontId="60" fillId="2" borderId="0" xfId="20" applyNumberFormat="1" applyFont="1" applyFill="1" applyAlignment="1">
      <alignment horizontal="right" vertical="center"/>
      <protection/>
    </xf>
    <xf numFmtId="2" fontId="29" fillId="2" borderId="0" xfId="20" applyNumberFormat="1" applyFont="1" applyFill="1" applyAlignment="1">
      <alignment vertical="center"/>
      <protection/>
    </xf>
    <xf numFmtId="4" fontId="29" fillId="2" borderId="0" xfId="20" applyNumberFormat="1" applyFont="1" applyFill="1" applyAlignment="1">
      <alignment vertical="center"/>
      <protection/>
    </xf>
    <xf numFmtId="169" fontId="29" fillId="2" borderId="0" xfId="20" applyNumberFormat="1" applyFont="1" applyFill="1" applyAlignment="1">
      <alignment horizontal="center" vertical="center"/>
      <protection/>
    </xf>
    <xf numFmtId="3" fontId="57" fillId="2" borderId="0" xfId="20" applyNumberFormat="1" applyFont="1" applyFill="1" applyAlignment="1">
      <alignment vertical="center"/>
      <protection/>
    </xf>
    <xf numFmtId="3" fontId="70" fillId="2" borderId="0" xfId="20" applyNumberFormat="1" applyFont="1" applyFill="1" applyAlignment="1">
      <alignment vertical="center"/>
      <protection/>
    </xf>
    <xf numFmtId="0" fontId="70" fillId="2" borderId="0" xfId="20" applyFont="1" applyFill="1" applyAlignment="1">
      <alignment vertical="center"/>
      <protection/>
    </xf>
    <xf numFmtId="0" fontId="70" fillId="2" borderId="0" xfId="20" applyFont="1" applyFill="1" applyBorder="1" applyAlignment="1">
      <alignment vertical="center"/>
      <protection/>
    </xf>
    <xf numFmtId="3" fontId="57" fillId="2" borderId="0" xfId="20" applyNumberFormat="1" applyFont="1" applyFill="1" applyAlignment="1">
      <alignment horizontal="right" vertical="center"/>
      <protection/>
    </xf>
    <xf numFmtId="3" fontId="57" fillId="2" borderId="0" xfId="20" applyNumberFormat="1" applyFont="1" applyFill="1" applyAlignment="1">
      <alignment horizontal="center" vertical="center"/>
      <protection/>
    </xf>
    <xf numFmtId="3" fontId="70" fillId="2" borderId="0" xfId="20" applyNumberFormat="1" applyFont="1" applyFill="1" applyAlignment="1">
      <alignment horizontal="right" vertical="center"/>
      <protection/>
    </xf>
    <xf numFmtId="3" fontId="63" fillId="2" borderId="0" xfId="20" applyNumberFormat="1" applyFont="1" applyFill="1" applyAlignment="1">
      <alignment vertical="center"/>
      <protection/>
    </xf>
    <xf numFmtId="3" fontId="63" fillId="2" borderId="0" xfId="20" applyNumberFormat="1" applyFont="1" applyFill="1" applyAlignment="1">
      <alignment horizontal="right" vertical="center"/>
      <protection/>
    </xf>
    <xf numFmtId="3" fontId="59" fillId="2" borderId="0" xfId="20" applyNumberFormat="1" applyFont="1" applyFill="1" applyBorder="1" applyAlignment="1">
      <alignment vertical="center"/>
      <protection/>
    </xf>
    <xf numFmtId="3" fontId="68" fillId="2" borderId="0" xfId="21" applyNumberFormat="1" applyFont="1" applyFill="1" applyBorder="1" applyAlignment="1">
      <alignment horizontal="right" vertical="center"/>
    </xf>
    <xf numFmtId="3" fontId="29" fillId="2" borderId="0" xfId="20" applyNumberFormat="1" applyFont="1" applyFill="1" applyAlignment="1">
      <alignment horizontal="right" vertical="center"/>
      <protection/>
    </xf>
    <xf numFmtId="3" fontId="12" fillId="2" borderId="60" xfId="20" applyNumberFormat="1" applyFont="1" applyFill="1" applyBorder="1" applyAlignment="1">
      <alignment vertical="center"/>
      <protection/>
    </xf>
    <xf numFmtId="169" fontId="60" fillId="2" borderId="64" xfId="20" applyNumberFormat="1" applyFont="1" applyFill="1" applyBorder="1" applyAlignment="1">
      <alignment vertical="center"/>
      <protection/>
    </xf>
    <xf numFmtId="3" fontId="12" fillId="2" borderId="65" xfId="20" applyNumberFormat="1" applyFont="1" applyFill="1" applyBorder="1" applyAlignment="1">
      <alignment vertical="center"/>
      <protection/>
    </xf>
    <xf numFmtId="169" fontId="60" fillId="2" borderId="64" xfId="20" applyNumberFormat="1" applyFont="1" applyFill="1" applyBorder="1" applyAlignment="1">
      <alignment horizontal="right" vertical="center"/>
      <protection/>
    </xf>
    <xf numFmtId="169" fontId="70" fillId="2" borderId="0" xfId="20" applyNumberFormat="1" applyFont="1" applyFill="1" applyAlignment="1">
      <alignment horizontal="right" vertical="center"/>
      <protection/>
    </xf>
    <xf numFmtId="0" fontId="57" fillId="2" borderId="66" xfId="20" applyFont="1" applyFill="1" applyBorder="1" applyAlignment="1">
      <alignment vertical="center"/>
      <protection/>
    </xf>
    <xf numFmtId="3" fontId="12" fillId="2" borderId="67" xfId="20" applyNumberFormat="1" applyFont="1" applyFill="1" applyBorder="1" applyAlignment="1">
      <alignment vertical="center"/>
      <protection/>
    </xf>
    <xf numFmtId="3" fontId="12" fillId="2" borderId="68" xfId="20" applyNumberFormat="1" applyFont="1" applyFill="1" applyBorder="1" applyAlignment="1">
      <alignment vertical="center"/>
      <protection/>
    </xf>
    <xf numFmtId="3" fontId="12" fillId="2" borderId="69" xfId="20" applyNumberFormat="1" applyFont="1" applyFill="1" applyBorder="1" applyAlignment="1">
      <alignment vertical="center"/>
      <protection/>
    </xf>
    <xf numFmtId="3" fontId="12" fillId="2" borderId="70" xfId="20" applyNumberFormat="1" applyFont="1" applyFill="1" applyBorder="1" applyAlignment="1">
      <alignment horizontal="right" vertical="center"/>
      <protection/>
    </xf>
    <xf numFmtId="3" fontId="29" fillId="2" borderId="67" xfId="20" applyNumberFormat="1" applyFont="1" applyFill="1" applyBorder="1" applyAlignment="1">
      <alignment vertical="center"/>
      <protection/>
    </xf>
    <xf numFmtId="3" fontId="29" fillId="2" borderId="68" xfId="20" applyNumberFormat="1" applyFont="1" applyFill="1" applyBorder="1" applyAlignment="1">
      <alignment vertical="center"/>
      <protection/>
    </xf>
    <xf numFmtId="3" fontId="29" fillId="2" borderId="69" xfId="20" applyNumberFormat="1" applyFont="1" applyFill="1" applyBorder="1" applyAlignment="1">
      <alignment vertical="center"/>
      <protection/>
    </xf>
    <xf numFmtId="3" fontId="29" fillId="2" borderId="69" xfId="20" applyNumberFormat="1" applyFont="1" applyFill="1" applyBorder="1" applyAlignment="1">
      <alignment horizontal="right" vertical="center"/>
      <protection/>
    </xf>
    <xf numFmtId="3" fontId="12" fillId="2" borderId="71" xfId="20" applyNumberFormat="1" applyFont="1" applyFill="1" applyBorder="1" applyAlignment="1">
      <alignment vertical="center"/>
      <protection/>
    </xf>
    <xf numFmtId="3" fontId="12" fillId="2" borderId="69" xfId="20" applyNumberFormat="1" applyFont="1" applyFill="1" applyBorder="1" applyAlignment="1">
      <alignment horizontal="right" vertical="center"/>
      <protection/>
    </xf>
    <xf numFmtId="3" fontId="29" fillId="2" borderId="71" xfId="20" applyNumberFormat="1" applyFont="1" applyFill="1" applyBorder="1" applyAlignment="1">
      <alignment vertical="center"/>
      <protection/>
    </xf>
    <xf numFmtId="0" fontId="57" fillId="2" borderId="0" xfId="20" applyFont="1" applyFill="1" applyAlignment="1">
      <alignment horizontal="right" vertical="center"/>
      <protection/>
    </xf>
    <xf numFmtId="0" fontId="57" fillId="2" borderId="0" xfId="20" applyFont="1" applyFill="1" applyAlignment="1">
      <alignment vertical="center" wrapText="1"/>
      <protection/>
    </xf>
    <xf numFmtId="169" fontId="57" fillId="14" borderId="0" xfId="20" applyNumberFormat="1" applyFont="1" applyFill="1" applyAlignment="1">
      <alignment vertical="center"/>
      <protection/>
    </xf>
    <xf numFmtId="0" fontId="64" fillId="2" borderId="0" xfId="20" applyFont="1" applyFill="1" applyAlignment="1">
      <alignment vertical="center"/>
      <protection/>
    </xf>
    <xf numFmtId="170" fontId="60" fillId="2" borderId="63" xfId="30" applyNumberFormat="1" applyFont="1" applyFill="1" applyBorder="1" applyAlignment="1">
      <alignment vertical="center"/>
    </xf>
    <xf numFmtId="170" fontId="70" fillId="2" borderId="0" xfId="30" applyNumberFormat="1" applyFont="1" applyFill="1" applyAlignment="1">
      <alignment horizontal="right" vertical="center"/>
    </xf>
    <xf numFmtId="3" fontId="68" fillId="2" borderId="0" xfId="21" applyNumberFormat="1" applyFont="1" applyFill="1" applyBorder="1" applyAlignment="1">
      <alignment horizontal="center" vertical="center"/>
    </xf>
    <xf numFmtId="170" fontId="59" fillId="2" borderId="0" xfId="30" applyNumberFormat="1" applyFont="1" applyFill="1" applyBorder="1" applyAlignment="1">
      <alignment horizontal="right" vertical="center"/>
    </xf>
    <xf numFmtId="170" fontId="63" fillId="2" borderId="0" xfId="30" applyNumberFormat="1" applyFont="1" applyFill="1" applyAlignment="1">
      <alignment horizontal="right" vertical="center"/>
    </xf>
    <xf numFmtId="170" fontId="60" fillId="2" borderId="0" xfId="30" applyNumberFormat="1" applyFont="1" applyFill="1" applyBorder="1" applyAlignment="1">
      <alignment horizontal="right" vertical="center"/>
    </xf>
    <xf numFmtId="170" fontId="60" fillId="2" borderId="0" xfId="30" applyNumberFormat="1" applyFont="1" applyFill="1" applyAlignment="1">
      <alignment horizontal="center" vertical="center"/>
    </xf>
    <xf numFmtId="170" fontId="29" fillId="2" borderId="0" xfId="30" applyNumberFormat="1" applyFont="1" applyFill="1" applyAlignment="1">
      <alignment horizontal="center" vertical="center"/>
    </xf>
    <xf numFmtId="3" fontId="12" fillId="11" borderId="61" xfId="20" applyNumberFormat="1" applyFont="1" applyFill="1" applyBorder="1" applyAlignment="1">
      <alignment horizontal="center" vertical="center"/>
      <protection/>
    </xf>
    <xf numFmtId="170" fontId="60" fillId="11" borderId="63" xfId="30" applyNumberFormat="1" applyFont="1" applyFill="1" applyBorder="1" applyAlignment="1">
      <alignment vertical="center"/>
    </xf>
    <xf numFmtId="170" fontId="57" fillId="2" borderId="0" xfId="30" applyNumberFormat="1" applyFont="1" applyFill="1" applyAlignment="1">
      <alignment horizontal="right" vertical="center"/>
    </xf>
    <xf numFmtId="4" fontId="12" fillId="2" borderId="60" xfId="20" applyNumberFormat="1" applyFont="1" applyFill="1" applyBorder="1" applyAlignment="1">
      <alignment vertical="center"/>
      <protection/>
    </xf>
    <xf numFmtId="3" fontId="29" fillId="2" borderId="60" xfId="20" applyNumberFormat="1" applyFont="1" applyFill="1" applyBorder="1" applyAlignment="1">
      <alignment vertical="center"/>
      <protection/>
    </xf>
    <xf numFmtId="4" fontId="29" fillId="2" borderId="60" xfId="20" applyNumberFormat="1" applyFont="1" applyFill="1" applyBorder="1" applyAlignment="1">
      <alignment vertical="center"/>
      <protection/>
    </xf>
    <xf numFmtId="169" fontId="60" fillId="2" borderId="63" xfId="20" applyNumberFormat="1" applyFont="1" applyFill="1" applyBorder="1" applyAlignment="1">
      <alignment horizontal="center" vertical="center"/>
      <protection/>
    </xf>
    <xf numFmtId="170" fontId="57" fillId="2" borderId="0" xfId="20" applyNumberFormat="1" applyFont="1" applyFill="1" applyAlignment="1">
      <alignment horizontal="right" vertical="center"/>
      <protection/>
    </xf>
    <xf numFmtId="0" fontId="57" fillId="2" borderId="0" xfId="20" applyFont="1" applyFill="1" applyBorder="1" applyAlignment="1">
      <alignment horizontal="right" vertical="center"/>
      <protection/>
    </xf>
    <xf numFmtId="0" fontId="12" fillId="13" borderId="0" xfId="0" applyFont="1" applyFill="1" applyBorder="1" applyAlignment="1">
      <alignment vertical="center"/>
    </xf>
    <xf numFmtId="170" fontId="70" fillId="2" borderId="0" xfId="30" applyNumberFormat="1" applyFont="1" applyFill="1" applyAlignment="1">
      <alignment vertical="center"/>
    </xf>
    <xf numFmtId="0" fontId="24" fillId="2" borderId="0" xfId="20" applyFont="1" applyFill="1" applyAlignment="1">
      <alignment horizontal="center" vertical="center"/>
      <protection/>
    </xf>
    <xf numFmtId="170" fontId="63" fillId="2" borderId="0" xfId="30" applyNumberFormat="1" applyFont="1" applyFill="1" applyAlignment="1">
      <alignment vertical="center"/>
    </xf>
    <xf numFmtId="3" fontId="57" fillId="2" borderId="0" xfId="20" applyNumberFormat="1" applyFont="1" applyFill="1" applyAlignment="1">
      <alignment horizontal="left" vertical="center"/>
      <protection/>
    </xf>
    <xf numFmtId="0" fontId="71" fillId="2" borderId="0" xfId="20" applyFont="1" applyFill="1" applyAlignment="1">
      <alignment vertical="center"/>
      <protection/>
    </xf>
    <xf numFmtId="169" fontId="57" fillId="2" borderId="0" xfId="20" applyNumberFormat="1" applyFont="1" applyFill="1" applyAlignment="1">
      <alignment vertical="center"/>
      <protection/>
    </xf>
    <xf numFmtId="0" fontId="71" fillId="2" borderId="0" xfId="20" applyFont="1" applyFill="1" applyAlignment="1">
      <alignment horizontal="left" vertical="center"/>
      <protection/>
    </xf>
    <xf numFmtId="0" fontId="71" fillId="2" borderId="0" xfId="20" applyFont="1" applyFill="1" applyAlignment="1">
      <alignment horizontal="center" vertical="center"/>
      <protection/>
    </xf>
    <xf numFmtId="0" fontId="57" fillId="2" borderId="0" xfId="20" applyFont="1" applyFill="1" applyAlignment="1">
      <alignment horizontal="left" vertical="center"/>
      <protection/>
    </xf>
    <xf numFmtId="168" fontId="57" fillId="2" borderId="0" xfId="20" applyNumberFormat="1" applyFont="1" applyFill="1" applyAlignment="1">
      <alignment horizontal="center" vertical="center"/>
      <protection/>
    </xf>
    <xf numFmtId="0" fontId="70" fillId="11" borderId="0" xfId="20" applyFont="1" applyFill="1" applyAlignment="1">
      <alignment horizontal="center" vertical="center"/>
      <protection/>
    </xf>
    <xf numFmtId="169" fontId="24" fillId="2" borderId="0" xfId="20" applyNumberFormat="1" applyFont="1" applyFill="1" applyAlignment="1">
      <alignment horizontal="right" vertical="center"/>
      <protection/>
    </xf>
    <xf numFmtId="169" fontId="57" fillId="2" borderId="0" xfId="20" applyNumberFormat="1" applyFont="1" applyFill="1" applyAlignment="1">
      <alignment horizontal="left" vertical="center"/>
      <protection/>
    </xf>
    <xf numFmtId="0" fontId="70" fillId="0" borderId="0" xfId="20" applyFont="1" applyFill="1" applyAlignment="1">
      <alignment horizontal="left" vertical="center"/>
      <protection/>
    </xf>
    <xf numFmtId="0" fontId="70" fillId="0" borderId="0" xfId="20" applyFont="1" applyFill="1" applyAlignment="1">
      <alignment horizontal="center" vertical="center"/>
      <protection/>
    </xf>
    <xf numFmtId="0" fontId="63" fillId="17" borderId="0" xfId="0" applyFont="1" applyFill="1" applyBorder="1" applyAlignment="1">
      <alignment horizontal="center" vertical="center"/>
    </xf>
    <xf numFmtId="0" fontId="54" fillId="2" borderId="0" xfId="20" applyFont="1" applyFill="1" applyAlignment="1">
      <alignment horizontal="left" vertical="center"/>
      <protection/>
    </xf>
    <xf numFmtId="0" fontId="72" fillId="2" borderId="0" xfId="20" applyFont="1" applyFill="1" applyAlignment="1">
      <alignment vertical="center"/>
      <protection/>
    </xf>
    <xf numFmtId="0" fontId="74" fillId="11" borderId="0" xfId="0" applyFont="1" applyFill="1" applyBorder="1" applyAlignment="1">
      <alignment horizontal="center" vertical="center"/>
    </xf>
    <xf numFmtId="0" fontId="75" fillId="2" borderId="0" xfId="20" applyFont="1" applyFill="1" applyAlignment="1">
      <alignment vertical="center"/>
      <protection/>
    </xf>
    <xf numFmtId="0" fontId="76" fillId="17" borderId="0" xfId="0" applyFont="1" applyFill="1" applyBorder="1" applyAlignment="1">
      <alignment horizontal="center" vertical="center"/>
    </xf>
    <xf numFmtId="0" fontId="78" fillId="17" borderId="0" xfId="0" applyFont="1" applyFill="1" applyBorder="1" applyAlignment="1">
      <alignment horizontal="center" vertical="center"/>
    </xf>
    <xf numFmtId="0" fontId="78" fillId="2" borderId="0" xfId="20" applyFont="1" applyFill="1" applyAlignment="1">
      <alignment vertical="center"/>
      <protection/>
    </xf>
    <xf numFmtId="0" fontId="73" fillId="18" borderId="0" xfId="0" applyFont="1" applyFill="1" applyBorder="1" applyAlignment="1">
      <alignment horizontal="center" vertical="center"/>
    </xf>
    <xf numFmtId="0" fontId="73" fillId="2" borderId="0" xfId="20" applyFont="1" applyFill="1" applyAlignment="1">
      <alignment vertical="center"/>
      <protection/>
    </xf>
    <xf numFmtId="0" fontId="73" fillId="17" borderId="0" xfId="0" applyFont="1" applyFill="1" applyBorder="1" applyAlignment="1">
      <alignment horizontal="center" vertical="center"/>
    </xf>
    <xf numFmtId="3" fontId="28" fillId="17" borderId="1" xfId="0" applyNumberFormat="1" applyFont="1" applyFill="1" applyBorder="1" applyAlignment="1">
      <alignment horizontal="center" vertical="center"/>
    </xf>
    <xf numFmtId="169" fontId="28" fillId="17" borderId="1" xfId="0" applyNumberFormat="1" applyFont="1" applyFill="1" applyBorder="1" applyAlignment="1">
      <alignment horizontal="center" vertical="center"/>
    </xf>
    <xf numFmtId="3" fontId="80" fillId="17" borderId="1" xfId="0" applyNumberFormat="1" applyFont="1" applyFill="1" applyBorder="1" applyAlignment="1">
      <alignment horizontal="center" vertical="center"/>
    </xf>
    <xf numFmtId="169" fontId="80" fillId="17" borderId="1" xfId="0" applyNumberFormat="1" applyFont="1" applyFill="1" applyBorder="1" applyAlignment="1">
      <alignment horizontal="center" vertical="center"/>
    </xf>
    <xf numFmtId="0" fontId="81" fillId="2" borderId="0" xfId="20" applyFont="1" applyFill="1" applyAlignment="1">
      <alignment vertical="center"/>
      <protection/>
    </xf>
    <xf numFmtId="169" fontId="24" fillId="2" borderId="0" xfId="20" applyNumberFormat="1" applyFont="1" applyFill="1" applyBorder="1" applyAlignment="1">
      <alignment horizontal="right" vertical="center"/>
      <protection/>
    </xf>
    <xf numFmtId="0" fontId="81" fillId="2" borderId="0" xfId="20" applyFont="1" applyFill="1" applyAlignment="1">
      <alignment horizontal="center" vertical="center"/>
      <protection/>
    </xf>
    <xf numFmtId="169" fontId="81" fillId="2" borderId="0" xfId="20" applyNumberFormat="1" applyFont="1" applyFill="1" applyBorder="1" applyAlignment="1">
      <alignment horizontal="right" vertical="center"/>
      <protection/>
    </xf>
    <xf numFmtId="0" fontId="81" fillId="2" borderId="0" xfId="20" applyFont="1" applyFill="1" applyBorder="1" applyAlignment="1">
      <alignment vertical="center"/>
      <protection/>
    </xf>
    <xf numFmtId="3" fontId="29" fillId="2" borderId="61" xfId="20" applyNumberFormat="1" applyFont="1" applyFill="1" applyBorder="1" applyAlignment="1">
      <alignment horizontal="center" vertical="center"/>
      <protection/>
    </xf>
    <xf numFmtId="3" fontId="29" fillId="2" borderId="62" xfId="20" applyNumberFormat="1" applyFont="1" applyFill="1" applyBorder="1" applyAlignment="1">
      <alignment horizontal="center" vertical="center"/>
      <protection/>
    </xf>
    <xf numFmtId="169" fontId="29" fillId="2" borderId="63" xfId="20" applyNumberFormat="1" applyFont="1" applyFill="1" applyBorder="1" applyAlignment="1">
      <alignment vertical="center"/>
      <protection/>
    </xf>
    <xf numFmtId="3" fontId="82" fillId="2" borderId="61" xfId="20" applyNumberFormat="1" applyFont="1" applyFill="1" applyBorder="1" applyAlignment="1">
      <alignment horizontal="center" vertical="center"/>
      <protection/>
    </xf>
    <xf numFmtId="3" fontId="82" fillId="2" borderId="62" xfId="20" applyNumberFormat="1" applyFont="1" applyFill="1" applyBorder="1" applyAlignment="1">
      <alignment horizontal="center" vertical="center"/>
      <protection/>
    </xf>
    <xf numFmtId="169" fontId="82" fillId="2" borderId="63" xfId="20" applyNumberFormat="1" applyFont="1" applyFill="1" applyBorder="1" applyAlignment="1">
      <alignment vertical="center"/>
      <protection/>
    </xf>
    <xf numFmtId="4" fontId="81" fillId="2" borderId="0" xfId="20" applyNumberFormat="1" applyFont="1" applyFill="1" applyBorder="1" applyAlignment="1">
      <alignment vertical="center"/>
      <protection/>
    </xf>
    <xf numFmtId="3" fontId="12" fillId="2" borderId="60" xfId="20" applyNumberFormat="1" applyFont="1" applyFill="1" applyBorder="1" applyAlignment="1">
      <alignment horizontal="center" vertical="center"/>
      <protection/>
    </xf>
    <xf numFmtId="3" fontId="29" fillId="2" borderId="60" xfId="20" applyNumberFormat="1" applyFont="1" applyFill="1" applyBorder="1" applyAlignment="1">
      <alignment horizontal="center" vertical="center"/>
      <protection/>
    </xf>
    <xf numFmtId="3" fontId="81" fillId="2" borderId="0" xfId="20" applyNumberFormat="1" applyFont="1" applyFill="1" applyBorder="1" applyAlignment="1">
      <alignment horizontal="right" vertical="center"/>
      <protection/>
    </xf>
    <xf numFmtId="169" fontId="60" fillId="2" borderId="60" xfId="20" applyNumberFormat="1" applyFont="1" applyFill="1" applyBorder="1" applyAlignment="1">
      <alignment vertical="center"/>
      <protection/>
    </xf>
    <xf numFmtId="169" fontId="29" fillId="2" borderId="60" xfId="20" applyNumberFormat="1" applyFont="1" applyFill="1" applyBorder="1" applyAlignment="1">
      <alignment vertical="center"/>
      <protection/>
    </xf>
    <xf numFmtId="3" fontId="83" fillId="2" borderId="0" xfId="20" applyNumberFormat="1" applyFont="1" applyFill="1" applyAlignment="1">
      <alignment vertical="center"/>
      <protection/>
    </xf>
    <xf numFmtId="3" fontId="82" fillId="2" borderId="0" xfId="20" applyNumberFormat="1" applyFont="1" applyFill="1" applyBorder="1" applyAlignment="1">
      <alignment vertical="center"/>
      <protection/>
    </xf>
    <xf numFmtId="3" fontId="12" fillId="2" borderId="72" xfId="20" applyNumberFormat="1" applyFont="1" applyFill="1" applyBorder="1" applyAlignment="1">
      <alignment horizontal="center" vertical="center"/>
      <protection/>
    </xf>
    <xf numFmtId="3" fontId="29" fillId="2" borderId="72" xfId="20" applyNumberFormat="1" applyFont="1" applyFill="1" applyBorder="1" applyAlignment="1">
      <alignment horizontal="center" vertical="center"/>
      <protection/>
    </xf>
    <xf numFmtId="2" fontId="29" fillId="2" borderId="0" xfId="20" applyNumberFormat="1" applyFont="1" applyFill="1" applyAlignment="1">
      <alignment horizontal="center" vertical="center"/>
      <protection/>
    </xf>
    <xf numFmtId="169" fontId="29" fillId="2" borderId="0" xfId="20" applyNumberFormat="1" applyFont="1" applyFill="1" applyBorder="1" applyAlignment="1">
      <alignment horizontal="right" vertical="center"/>
      <protection/>
    </xf>
    <xf numFmtId="2" fontId="82" fillId="2" borderId="0" xfId="20" applyNumberFormat="1" applyFont="1" applyFill="1" applyAlignment="1">
      <alignment horizontal="center" vertical="center"/>
      <protection/>
    </xf>
    <xf numFmtId="169" fontId="82" fillId="2" borderId="0" xfId="20" applyNumberFormat="1" applyFont="1" applyFill="1" applyBorder="1" applyAlignment="1">
      <alignment horizontal="right" vertical="center"/>
      <protection/>
    </xf>
    <xf numFmtId="2" fontId="82" fillId="2" borderId="0" xfId="20" applyNumberFormat="1" applyFont="1" applyFill="1" applyBorder="1" applyAlignment="1">
      <alignment vertical="center"/>
      <protection/>
    </xf>
    <xf numFmtId="3" fontId="12" fillId="11" borderId="10" xfId="20" applyNumberFormat="1" applyFont="1" applyFill="1" applyBorder="1" applyAlignment="1">
      <alignment vertical="center" wrapText="1"/>
      <protection/>
    </xf>
    <xf numFmtId="3" fontId="12" fillId="11" borderId="10" xfId="20" applyNumberFormat="1" applyFont="1" applyFill="1" applyBorder="1" applyAlignment="1">
      <alignment vertical="center"/>
      <protection/>
    </xf>
    <xf numFmtId="170" fontId="60" fillId="11" borderId="10" xfId="30" applyNumberFormat="1" applyFont="1" applyFill="1" applyBorder="1" applyAlignment="1">
      <alignment vertical="center"/>
    </xf>
    <xf numFmtId="3" fontId="29" fillId="2" borderId="0" xfId="21" applyNumberFormat="1" applyFont="1" applyFill="1" applyBorder="1" applyAlignment="1">
      <alignment horizontal="center" vertical="center"/>
    </xf>
    <xf numFmtId="169" fontId="28" fillId="2" borderId="0" xfId="20" applyNumberFormat="1" applyFont="1" applyFill="1" applyBorder="1" applyAlignment="1">
      <alignment horizontal="right" vertical="center"/>
      <protection/>
    </xf>
    <xf numFmtId="3" fontId="82" fillId="2" borderId="0" xfId="21" applyNumberFormat="1" applyFont="1" applyFill="1" applyBorder="1" applyAlignment="1">
      <alignment horizontal="center" vertical="center"/>
    </xf>
    <xf numFmtId="169" fontId="80" fillId="2" borderId="0" xfId="20" applyNumberFormat="1" applyFont="1" applyFill="1" applyBorder="1" applyAlignment="1">
      <alignment horizontal="right" vertical="center"/>
      <protection/>
    </xf>
    <xf numFmtId="3" fontId="12" fillId="2" borderId="60" xfId="20" applyNumberFormat="1" applyFont="1" applyFill="1" applyBorder="1" applyAlignment="1">
      <alignment horizontal="center" vertical="center" wrapText="1"/>
      <protection/>
    </xf>
    <xf numFmtId="3" fontId="57" fillId="2" borderId="73" xfId="20" applyNumberFormat="1" applyFont="1" applyFill="1" applyBorder="1" applyAlignment="1">
      <alignment horizontal="right" vertical="center"/>
      <protection/>
    </xf>
    <xf numFmtId="3" fontId="24" fillId="2" borderId="0" xfId="20" applyNumberFormat="1" applyFont="1" applyFill="1" applyAlignment="1">
      <alignment horizontal="center" vertical="center"/>
      <protection/>
    </xf>
    <xf numFmtId="3" fontId="81" fillId="2" borderId="0" xfId="20" applyNumberFormat="1" applyFont="1" applyFill="1" applyAlignment="1">
      <alignment horizontal="center" vertical="center"/>
      <protection/>
    </xf>
    <xf numFmtId="169" fontId="81" fillId="2" borderId="0" xfId="20" applyNumberFormat="1" applyFont="1" applyFill="1" applyAlignment="1">
      <alignment horizontal="right" vertical="center"/>
      <protection/>
    </xf>
    <xf numFmtId="3" fontId="24" fillId="2" borderId="0" xfId="20" applyNumberFormat="1" applyFont="1" applyFill="1" applyAlignment="1">
      <alignment horizontal="left" vertical="center"/>
      <protection/>
    </xf>
    <xf numFmtId="3" fontId="81" fillId="2" borderId="0" xfId="20" applyNumberFormat="1" applyFont="1" applyFill="1" applyAlignment="1">
      <alignment horizontal="left" vertical="center"/>
      <protection/>
    </xf>
    <xf numFmtId="0" fontId="83" fillId="2" borderId="0" xfId="20" applyFont="1" applyFill="1" applyBorder="1" applyAlignment="1">
      <alignment vertical="center"/>
      <protection/>
    </xf>
    <xf numFmtId="170" fontId="57" fillId="2" borderId="60" xfId="30" applyNumberFormat="1" applyFont="1" applyFill="1" applyBorder="1" applyAlignment="1">
      <alignment horizontal="right" vertical="center"/>
    </xf>
    <xf numFmtId="170" fontId="29" fillId="2" borderId="74" xfId="30" applyNumberFormat="1" applyFont="1" applyFill="1" applyBorder="1" applyAlignment="1">
      <alignment vertical="center"/>
    </xf>
    <xf numFmtId="170" fontId="82" fillId="2" borderId="74" xfId="30" applyNumberFormat="1" applyFont="1" applyFill="1" applyBorder="1" applyAlignment="1">
      <alignment vertical="center"/>
    </xf>
    <xf numFmtId="3" fontId="12" fillId="0" borderId="62" xfId="20" applyNumberFormat="1" applyFont="1" applyFill="1" applyBorder="1" applyAlignment="1">
      <alignment horizontal="center" vertical="center"/>
      <protection/>
    </xf>
    <xf numFmtId="3" fontId="70" fillId="0" borderId="0" xfId="20" applyNumberFormat="1" applyFont="1" applyFill="1" applyAlignment="1">
      <alignment vertical="center"/>
      <protection/>
    </xf>
    <xf numFmtId="3" fontId="55" fillId="0" borderId="0" xfId="20" applyNumberFormat="1" applyFont="1" applyFill="1" applyAlignment="1">
      <alignment vertical="center"/>
      <protection/>
    </xf>
    <xf numFmtId="3" fontId="9" fillId="0" borderId="62" xfId="20" applyNumberFormat="1" applyFont="1" applyFill="1" applyBorder="1" applyAlignment="1">
      <alignment horizontal="center" vertical="center"/>
      <protection/>
    </xf>
    <xf numFmtId="0" fontId="57" fillId="0" borderId="0" xfId="20" applyFont="1" applyFill="1" applyAlignment="1">
      <alignment horizontal="center" vertical="center"/>
      <protection/>
    </xf>
    <xf numFmtId="169" fontId="57" fillId="0" borderId="0" xfId="20" applyNumberFormat="1" applyFont="1" applyFill="1" applyAlignment="1">
      <alignment horizontal="right" vertical="center"/>
      <protection/>
    </xf>
    <xf numFmtId="0" fontId="6" fillId="0" borderId="0" xfId="20" applyFont="1" applyFill="1" applyAlignment="1">
      <alignment horizontal="center" vertical="center"/>
      <protection/>
    </xf>
    <xf numFmtId="169" fontId="6" fillId="0" borderId="0" xfId="20" applyNumberFormat="1" applyFont="1" applyFill="1" applyAlignment="1">
      <alignment horizontal="right" vertical="center"/>
      <protection/>
    </xf>
    <xf numFmtId="0" fontId="84" fillId="2" borderId="0" xfId="20" applyFont="1" applyFill="1" applyBorder="1" applyAlignment="1">
      <alignment vertical="center"/>
      <protection/>
    </xf>
    <xf numFmtId="0" fontId="71" fillId="2" borderId="0" xfId="20" applyFont="1" applyFill="1" applyBorder="1" applyAlignment="1">
      <alignment vertical="center"/>
      <protection/>
    </xf>
    <xf numFmtId="169" fontId="71" fillId="2" borderId="0" xfId="20" applyNumberFormat="1" applyFont="1" applyFill="1" applyAlignment="1">
      <alignment horizontal="right" vertical="center"/>
      <protection/>
    </xf>
    <xf numFmtId="0" fontId="70" fillId="2" borderId="0" xfId="20" applyFont="1" applyFill="1" applyAlignment="1">
      <alignment horizontal="right" vertical="center"/>
      <protection/>
    </xf>
    <xf numFmtId="3" fontId="63" fillId="11" borderId="0" xfId="20" applyNumberFormat="1" applyFont="1" applyFill="1" applyAlignment="1">
      <alignment vertical="center"/>
      <protection/>
    </xf>
    <xf numFmtId="0" fontId="70" fillId="2" borderId="0" xfId="20" applyFont="1" applyFill="1" applyBorder="1" applyAlignment="1">
      <alignment horizontal="right" vertical="center"/>
      <protection/>
    </xf>
    <xf numFmtId="167" fontId="70" fillId="2" borderId="0" xfId="20" applyNumberFormat="1" applyFont="1" applyFill="1" applyAlignment="1">
      <alignment vertical="center"/>
      <protection/>
    </xf>
    <xf numFmtId="0" fontId="86" fillId="2" borderId="0" xfId="20" applyFont="1" applyFill="1" applyAlignment="1">
      <alignment horizontal="center" vertical="center"/>
      <protection/>
    </xf>
    <xf numFmtId="167" fontId="63" fillId="2" borderId="0" xfId="20" applyNumberFormat="1" applyFont="1" applyFill="1" applyAlignment="1">
      <alignment vertical="center"/>
      <protection/>
    </xf>
    <xf numFmtId="0" fontId="87" fillId="19" borderId="0" xfId="20" applyFont="1" applyFill="1" applyAlignment="1">
      <alignment vertical="center"/>
      <protection/>
    </xf>
    <xf numFmtId="3" fontId="87" fillId="19" borderId="0" xfId="20" applyNumberFormat="1" applyFont="1" applyFill="1" applyAlignment="1">
      <alignment vertical="center"/>
      <protection/>
    </xf>
    <xf numFmtId="3" fontId="74" fillId="19" borderId="0" xfId="20" applyNumberFormat="1" applyFont="1" applyFill="1" applyAlignment="1">
      <alignment vertical="center"/>
      <protection/>
    </xf>
    <xf numFmtId="0" fontId="4" fillId="5" borderId="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166" fontId="9" fillId="2" borderId="5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55" fillId="2" borderId="52" xfId="0" applyNumberFormat="1" applyFont="1" applyFill="1" applyBorder="1" applyAlignment="1">
      <alignment horizontal="right" vertical="center"/>
    </xf>
    <xf numFmtId="171" fontId="29" fillId="2" borderId="0" xfId="0" applyNumberFormat="1" applyFont="1" applyFill="1" applyAlignment="1">
      <alignment vertical="center"/>
    </xf>
    <xf numFmtId="166" fontId="4" fillId="2" borderId="54" xfId="0" applyNumberFormat="1" applyFont="1" applyFill="1" applyBorder="1" applyAlignment="1">
      <alignment horizontal="right" vertical="center"/>
    </xf>
    <xf numFmtId="4" fontId="55" fillId="2" borderId="54" xfId="0" applyNumberFormat="1" applyFont="1" applyFill="1" applyBorder="1" applyAlignment="1">
      <alignment horizontal="right" vertical="center"/>
    </xf>
    <xf numFmtId="4" fontId="55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57" fillId="18" borderId="0" xfId="20" applyFont="1" applyFill="1" applyAlignment="1">
      <alignment vertical="center"/>
      <protection/>
    </xf>
    <xf numFmtId="0" fontId="60" fillId="18" borderId="0" xfId="20" applyFont="1" applyFill="1" applyBorder="1" applyAlignment="1">
      <alignment vertical="center"/>
      <protection/>
    </xf>
    <xf numFmtId="0" fontId="57" fillId="18" borderId="0" xfId="20" applyFont="1" applyFill="1" applyBorder="1" applyAlignment="1">
      <alignment vertical="center"/>
      <protection/>
    </xf>
    <xf numFmtId="3" fontId="57" fillId="18" borderId="0" xfId="20" applyNumberFormat="1" applyFont="1" applyFill="1" applyAlignment="1">
      <alignment vertical="center"/>
      <protection/>
    </xf>
    <xf numFmtId="169" fontId="57" fillId="18" borderId="0" xfId="20" applyNumberFormat="1" applyFont="1" applyFill="1" applyAlignment="1">
      <alignment horizontal="right" vertical="center"/>
      <protection/>
    </xf>
    <xf numFmtId="0" fontId="57" fillId="18" borderId="0" xfId="20" applyFont="1" applyFill="1" applyAlignment="1">
      <alignment horizontal="center" vertical="center"/>
      <protection/>
    </xf>
    <xf numFmtId="170" fontId="70" fillId="18" borderId="0" xfId="20" applyNumberFormat="1" applyFont="1" applyFill="1" applyAlignment="1">
      <alignment horizontal="center" vertical="center"/>
      <protection/>
    </xf>
    <xf numFmtId="169" fontId="70" fillId="18" borderId="0" xfId="20" applyNumberFormat="1" applyFont="1" applyFill="1" applyAlignment="1">
      <alignment horizontal="right" vertical="center"/>
      <protection/>
    </xf>
    <xf numFmtId="3" fontId="70" fillId="18" borderId="0" xfId="20" applyNumberFormat="1" applyFont="1" applyFill="1" applyAlignment="1">
      <alignment vertical="center"/>
      <protection/>
    </xf>
    <xf numFmtId="0" fontId="70" fillId="18" borderId="0" xfId="20" applyFont="1" applyFill="1" applyAlignment="1">
      <alignment vertical="center"/>
      <protection/>
    </xf>
    <xf numFmtId="0" fontId="59" fillId="18" borderId="0" xfId="20" applyFont="1" applyFill="1" applyBorder="1" applyAlignment="1">
      <alignment vertical="center"/>
      <protection/>
    </xf>
    <xf numFmtId="0" fontId="70" fillId="18" borderId="0" xfId="20" applyFont="1" applyFill="1" applyBorder="1" applyAlignment="1">
      <alignment vertical="center"/>
      <protection/>
    </xf>
    <xf numFmtId="0" fontId="70" fillId="18" borderId="0" xfId="20" applyFont="1" applyFill="1" applyAlignment="1">
      <alignment horizontal="center" vertical="center"/>
      <protection/>
    </xf>
    <xf numFmtId="3" fontId="70" fillId="18" borderId="0" xfId="20" applyNumberFormat="1" applyFont="1" applyFill="1" applyAlignment="1">
      <alignment horizontal="right" vertical="center"/>
      <protection/>
    </xf>
    <xf numFmtId="3" fontId="70" fillId="18" borderId="0" xfId="20" applyNumberFormat="1" applyFont="1" applyFill="1" applyAlignment="1">
      <alignment horizontal="center" vertical="center"/>
      <protection/>
    </xf>
    <xf numFmtId="0" fontId="30" fillId="2" borderId="0" xfId="0" applyFont="1" applyFill="1" applyAlignment="1" quotePrefix="1">
      <alignment horizontal="left" vertical="center" indent="2"/>
    </xf>
    <xf numFmtId="0" fontId="71" fillId="2" borderId="0" xfId="20" applyFont="1" applyFill="1" applyAlignment="1">
      <alignment horizontal="right" vertical="center"/>
      <protection/>
    </xf>
    <xf numFmtId="0" fontId="71" fillId="2" borderId="0" xfId="20" applyFont="1" applyFill="1" applyBorder="1" applyAlignment="1">
      <alignment horizontal="right" vertical="center"/>
      <protection/>
    </xf>
    <xf numFmtId="3" fontId="49" fillId="13" borderId="0" xfId="20" applyNumberFormat="1" applyFont="1" applyFill="1" applyAlignment="1">
      <alignment vertical="center"/>
      <protection/>
    </xf>
    <xf numFmtId="0" fontId="57" fillId="13" borderId="0" xfId="20" applyFont="1" applyFill="1" applyAlignment="1">
      <alignment horizontal="center" vertical="center"/>
      <protection/>
    </xf>
    <xf numFmtId="169" fontId="57" fillId="13" borderId="0" xfId="20" applyNumberFormat="1" applyFont="1" applyFill="1" applyAlignment="1">
      <alignment horizontal="right" vertical="center"/>
      <protection/>
    </xf>
    <xf numFmtId="0" fontId="57" fillId="13" borderId="0" xfId="20" applyFont="1" applyFill="1" applyBorder="1" applyAlignment="1">
      <alignment vertical="center"/>
      <protection/>
    </xf>
    <xf numFmtId="3" fontId="70" fillId="13" borderId="0" xfId="20" applyNumberFormat="1" applyFont="1" applyFill="1" applyAlignment="1">
      <alignment vertical="center"/>
      <protection/>
    </xf>
    <xf numFmtId="0" fontId="85" fillId="13" borderId="0" xfId="20" applyFont="1" applyFill="1" applyAlignment="1">
      <alignment horizontal="center" vertical="center"/>
      <protection/>
    </xf>
    <xf numFmtId="0" fontId="4" fillId="2" borderId="19" xfId="22" applyFont="1" applyFill="1" applyBorder="1" applyProtection="1">
      <alignment/>
      <protection/>
    </xf>
    <xf numFmtId="0" fontId="13" fillId="2" borderId="2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9" fillId="0" borderId="75" xfId="0" applyFont="1" applyBorder="1"/>
    <xf numFmtId="0" fontId="9" fillId="0" borderId="9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8" fillId="2" borderId="59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7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1" fillId="20" borderId="41" xfId="22" applyFont="1" applyFill="1" applyBorder="1" applyProtection="1">
      <alignment/>
      <protection locked="0"/>
    </xf>
    <xf numFmtId="0" fontId="31" fillId="20" borderId="20" xfId="22" applyFont="1" applyFill="1" applyBorder="1" applyProtection="1">
      <alignment/>
      <protection locked="0"/>
    </xf>
    <xf numFmtId="0" fontId="31" fillId="20" borderId="43" xfId="22" applyFont="1" applyFill="1" applyBorder="1" applyProtection="1">
      <alignment/>
      <protection locked="0"/>
    </xf>
    <xf numFmtId="0" fontId="31" fillId="20" borderId="41" xfId="22" applyFont="1" applyFill="1" applyBorder="1" applyProtection="1">
      <alignment/>
      <protection/>
    </xf>
    <xf numFmtId="0" fontId="31" fillId="20" borderId="20" xfId="22" applyFont="1" applyFill="1" applyBorder="1" applyProtection="1">
      <alignment/>
      <protection/>
    </xf>
    <xf numFmtId="0" fontId="31" fillId="20" borderId="43" xfId="22" applyFont="1" applyFill="1" applyBorder="1" applyProtection="1">
      <alignment/>
      <protection/>
    </xf>
    <xf numFmtId="0" fontId="36" fillId="11" borderId="23" xfId="0" applyFont="1" applyFill="1" applyBorder="1" applyAlignment="1">
      <alignment horizontal="center" vertical="center"/>
    </xf>
    <xf numFmtId="0" fontId="36" fillId="11" borderId="33" xfId="0" applyFont="1" applyFill="1" applyBorder="1" applyAlignment="1">
      <alignment horizontal="center" vertical="center"/>
    </xf>
    <xf numFmtId="0" fontId="36" fillId="11" borderId="3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41" fillId="11" borderId="23" xfId="0" applyFont="1" applyFill="1" applyBorder="1" applyAlignment="1">
      <alignment horizontal="center"/>
    </xf>
    <xf numFmtId="0" fontId="41" fillId="11" borderId="33" xfId="0" applyFont="1" applyFill="1" applyBorder="1" applyAlignment="1">
      <alignment horizontal="center"/>
    </xf>
    <xf numFmtId="0" fontId="41" fillId="11" borderId="32" xfId="0" applyFont="1" applyFill="1" applyBorder="1" applyAlignment="1">
      <alignment horizontal="center"/>
    </xf>
    <xf numFmtId="9" fontId="4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12" fillId="2" borderId="10" xfId="20" applyNumberFormat="1" applyFont="1" applyFill="1" applyBorder="1" applyAlignment="1">
      <alignment horizontal="center" vertical="center"/>
      <protection/>
    </xf>
    <xf numFmtId="3" fontId="60" fillId="2" borderId="10" xfId="20" applyNumberFormat="1" applyFont="1" applyFill="1" applyBorder="1" applyAlignment="1">
      <alignment horizontal="center" vertical="center"/>
      <protection/>
    </xf>
    <xf numFmtId="3" fontId="12" fillId="2" borderId="79" xfId="20" applyNumberFormat="1" applyFont="1" applyFill="1" applyBorder="1" applyAlignment="1">
      <alignment horizontal="center" vertical="center"/>
      <protection/>
    </xf>
    <xf numFmtId="3" fontId="12" fillId="2" borderId="80" xfId="20" applyNumberFormat="1" applyFont="1" applyFill="1" applyBorder="1" applyAlignment="1">
      <alignment horizontal="center" vertical="center"/>
      <protection/>
    </xf>
    <xf numFmtId="3" fontId="12" fillId="2" borderId="67" xfId="20" applyNumberFormat="1" applyFont="1" applyFill="1" applyBorder="1" applyAlignment="1">
      <alignment horizontal="center" vertical="center"/>
      <protection/>
    </xf>
    <xf numFmtId="3" fontId="12" fillId="2" borderId="81" xfId="20" applyNumberFormat="1" applyFont="1" applyFill="1" applyBorder="1" applyAlignment="1">
      <alignment horizontal="right" vertical="center"/>
      <protection/>
    </xf>
    <xf numFmtId="3" fontId="12" fillId="2" borderId="74" xfId="20" applyNumberFormat="1" applyFont="1" applyFill="1" applyBorder="1" applyAlignment="1">
      <alignment horizontal="right" vertical="center"/>
      <protection/>
    </xf>
    <xf numFmtId="3" fontId="12" fillId="2" borderId="82" xfId="20" applyNumberFormat="1" applyFont="1" applyFill="1" applyBorder="1" applyAlignment="1">
      <alignment horizontal="right" vertical="center"/>
      <protection/>
    </xf>
    <xf numFmtId="3" fontId="12" fillId="2" borderId="83" xfId="20" applyNumberFormat="1" applyFont="1" applyFill="1" applyBorder="1" applyAlignment="1">
      <alignment horizontal="center" vertical="center"/>
      <protection/>
    </xf>
    <xf numFmtId="3" fontId="12" fillId="2" borderId="84" xfId="20" applyNumberFormat="1" applyFont="1" applyFill="1" applyBorder="1" applyAlignment="1">
      <alignment horizontal="center" vertical="center"/>
      <protection/>
    </xf>
    <xf numFmtId="3" fontId="12" fillId="2" borderId="68" xfId="20" applyNumberFormat="1" applyFont="1" applyFill="1" applyBorder="1" applyAlignment="1">
      <alignment horizontal="center" vertical="center"/>
      <protection/>
    </xf>
    <xf numFmtId="4" fontId="29" fillId="2" borderId="85" xfId="20" applyNumberFormat="1" applyFont="1" applyFill="1" applyBorder="1" applyAlignment="1">
      <alignment horizontal="center" vertical="center"/>
      <protection/>
    </xf>
    <xf numFmtId="4" fontId="29" fillId="2" borderId="86" xfId="20" applyNumberFormat="1" applyFont="1" applyFill="1" applyBorder="1" applyAlignment="1">
      <alignment horizontal="center" vertical="center"/>
      <protection/>
    </xf>
    <xf numFmtId="4" fontId="29" fillId="2" borderId="69" xfId="20" applyNumberFormat="1" applyFont="1" applyFill="1" applyBorder="1" applyAlignment="1">
      <alignment horizontal="center" vertical="center"/>
      <protection/>
    </xf>
    <xf numFmtId="3" fontId="29" fillId="2" borderId="85" xfId="20" applyNumberFormat="1" applyFont="1" applyFill="1" applyBorder="1" applyAlignment="1">
      <alignment horizontal="right" vertical="center"/>
      <protection/>
    </xf>
    <xf numFmtId="3" fontId="29" fillId="2" borderId="86" xfId="20" applyNumberFormat="1" applyFont="1" applyFill="1" applyBorder="1" applyAlignment="1">
      <alignment horizontal="right" vertical="center"/>
      <protection/>
    </xf>
    <xf numFmtId="3" fontId="29" fillId="2" borderId="69" xfId="20" applyNumberFormat="1" applyFont="1" applyFill="1" applyBorder="1" applyAlignment="1">
      <alignment horizontal="right" vertical="center"/>
      <protection/>
    </xf>
    <xf numFmtId="3" fontId="12" fillId="2" borderId="63" xfId="20" applyNumberFormat="1" applyFont="1" applyFill="1" applyBorder="1" applyAlignment="1">
      <alignment horizontal="center" vertical="center"/>
      <protection/>
    </xf>
    <xf numFmtId="3" fontId="12" fillId="2" borderId="74" xfId="20" applyNumberFormat="1" applyFont="1" applyFill="1" applyBorder="1" applyAlignment="1">
      <alignment horizontal="center" vertical="center"/>
      <protection/>
    </xf>
    <xf numFmtId="4" fontId="12" fillId="2" borderId="63" xfId="20" applyNumberFormat="1" applyFont="1" applyFill="1" applyBorder="1" applyAlignment="1">
      <alignment horizontal="center" vertical="center"/>
      <protection/>
    </xf>
    <xf numFmtId="4" fontId="12" fillId="2" borderId="74" xfId="20" applyNumberFormat="1" applyFont="1" applyFill="1" applyBorder="1" applyAlignment="1">
      <alignment horizontal="center" vertical="center"/>
      <protection/>
    </xf>
    <xf numFmtId="4" fontId="12" fillId="2" borderId="82" xfId="20" applyNumberFormat="1" applyFont="1" applyFill="1" applyBorder="1" applyAlignment="1">
      <alignment horizontal="center" vertical="center"/>
      <protection/>
    </xf>
    <xf numFmtId="4" fontId="12" fillId="2" borderId="85" xfId="20" applyNumberFormat="1" applyFont="1" applyFill="1" applyBorder="1" applyAlignment="1">
      <alignment horizontal="center" vertical="center"/>
      <protection/>
    </xf>
    <xf numFmtId="4" fontId="12" fillId="2" borderId="86" xfId="20" applyNumberFormat="1" applyFont="1" applyFill="1" applyBorder="1" applyAlignment="1">
      <alignment horizontal="center" vertical="center"/>
      <protection/>
    </xf>
    <xf numFmtId="4" fontId="12" fillId="2" borderId="69" xfId="20" applyNumberFormat="1" applyFont="1" applyFill="1" applyBorder="1" applyAlignment="1">
      <alignment horizontal="center" vertical="center"/>
      <protection/>
    </xf>
    <xf numFmtId="3" fontId="60" fillId="2" borderId="87" xfId="20" applyNumberFormat="1" applyFont="1" applyFill="1" applyBorder="1" applyAlignment="1">
      <alignment horizontal="right" vertical="center"/>
      <protection/>
    </xf>
    <xf numFmtId="3" fontId="60" fillId="2" borderId="80" xfId="20" applyNumberFormat="1" applyFont="1" applyFill="1" applyBorder="1" applyAlignment="1">
      <alignment horizontal="right" vertical="center"/>
      <protection/>
    </xf>
    <xf numFmtId="3" fontId="29" fillId="2" borderId="79" xfId="20" applyNumberFormat="1" applyFont="1" applyFill="1" applyBorder="1" applyAlignment="1">
      <alignment horizontal="center" vertical="center"/>
      <protection/>
    </xf>
    <xf numFmtId="3" fontId="29" fillId="2" borderId="80" xfId="20" applyNumberFormat="1" applyFont="1" applyFill="1" applyBorder="1" applyAlignment="1">
      <alignment horizontal="center" vertical="center"/>
      <protection/>
    </xf>
    <xf numFmtId="3" fontId="29" fillId="2" borderId="67" xfId="20" applyNumberFormat="1" applyFont="1" applyFill="1" applyBorder="1" applyAlignment="1">
      <alignment horizontal="center" vertical="center"/>
      <protection/>
    </xf>
    <xf numFmtId="3" fontId="29" fillId="2" borderId="83" xfId="20" applyNumberFormat="1" applyFont="1" applyFill="1" applyBorder="1" applyAlignment="1">
      <alignment horizontal="center" vertical="center"/>
      <protection/>
    </xf>
    <xf numFmtId="3" fontId="29" fillId="2" borderId="84" xfId="20" applyNumberFormat="1" applyFont="1" applyFill="1" applyBorder="1" applyAlignment="1">
      <alignment horizontal="center" vertical="center"/>
      <protection/>
    </xf>
    <xf numFmtId="3" fontId="29" fillId="2" borderId="68" xfId="20" applyNumberFormat="1" applyFont="1" applyFill="1" applyBorder="1" applyAlignment="1">
      <alignment horizontal="center" vertical="center"/>
      <protection/>
    </xf>
    <xf numFmtId="3" fontId="60" fillId="2" borderId="63" xfId="20" applyNumberFormat="1" applyFont="1" applyFill="1" applyBorder="1" applyAlignment="1">
      <alignment horizontal="right" vertical="center"/>
      <protection/>
    </xf>
    <xf numFmtId="3" fontId="60" fillId="2" borderId="74" xfId="20" applyNumberFormat="1" applyFont="1" applyFill="1" applyBorder="1" applyAlignment="1">
      <alignment horizontal="right" vertical="center"/>
      <protection/>
    </xf>
    <xf numFmtId="3" fontId="29" fillId="2" borderId="63" xfId="20" applyNumberFormat="1" applyFont="1" applyFill="1" applyBorder="1" applyAlignment="1">
      <alignment horizontal="center" vertical="center"/>
      <protection/>
    </xf>
    <xf numFmtId="3" fontId="29" fillId="2" borderId="74" xfId="20" applyNumberFormat="1" applyFont="1" applyFill="1" applyBorder="1" applyAlignment="1">
      <alignment horizontal="center" vertical="center"/>
      <protection/>
    </xf>
    <xf numFmtId="4" fontId="29" fillId="2" borderId="63" xfId="20" applyNumberFormat="1" applyFont="1" applyFill="1" applyBorder="1" applyAlignment="1">
      <alignment horizontal="center" vertical="center"/>
      <protection/>
    </xf>
    <xf numFmtId="4" fontId="29" fillId="2" borderId="74" xfId="20" applyNumberFormat="1" applyFont="1" applyFill="1" applyBorder="1" applyAlignment="1">
      <alignment horizontal="center" vertical="center"/>
      <protection/>
    </xf>
    <xf numFmtId="3" fontId="29" fillId="2" borderId="63" xfId="20" applyNumberFormat="1" applyFont="1" applyFill="1" applyBorder="1" applyAlignment="1">
      <alignment horizontal="right" vertical="center"/>
      <protection/>
    </xf>
    <xf numFmtId="3" fontId="29" fillId="2" borderId="74" xfId="20" applyNumberFormat="1" applyFont="1" applyFill="1" applyBorder="1" applyAlignment="1">
      <alignment horizontal="right" vertical="center"/>
      <protection/>
    </xf>
    <xf numFmtId="3" fontId="29" fillId="2" borderId="82" xfId="20" applyNumberFormat="1" applyFont="1" applyFill="1" applyBorder="1" applyAlignment="1">
      <alignment horizontal="right" vertical="center"/>
      <protection/>
    </xf>
    <xf numFmtId="4" fontId="12" fillId="2" borderId="65" xfId="20" applyNumberFormat="1" applyFont="1" applyFill="1" applyBorder="1" applyAlignment="1">
      <alignment horizontal="center" vertical="center"/>
      <protection/>
    </xf>
    <xf numFmtId="4" fontId="29" fillId="2" borderId="65" xfId="20" applyNumberFormat="1" applyFont="1" applyFill="1" applyBorder="1" applyAlignment="1">
      <alignment horizontal="center" vertical="center"/>
      <protection/>
    </xf>
    <xf numFmtId="3" fontId="29" fillId="2" borderId="65" xfId="20" applyNumberFormat="1" applyFont="1" applyFill="1" applyBorder="1" applyAlignment="1">
      <alignment horizontal="right" vertical="center"/>
      <protection/>
    </xf>
    <xf numFmtId="3" fontId="9" fillId="0" borderId="24" xfId="20" applyNumberFormat="1" applyFont="1" applyFill="1" applyBorder="1" applyAlignment="1">
      <alignment horizontal="center" vertical="center"/>
      <protection/>
    </xf>
    <xf numFmtId="3" fontId="9" fillId="0" borderId="39" xfId="20" applyNumberFormat="1" applyFont="1" applyFill="1" applyBorder="1" applyAlignment="1">
      <alignment horizontal="center" vertical="center"/>
      <protection/>
    </xf>
    <xf numFmtId="4" fontId="12" fillId="2" borderId="81" xfId="20" applyNumberFormat="1" applyFont="1" applyFill="1" applyBorder="1" applyAlignment="1">
      <alignment horizontal="center" vertical="center"/>
      <protection/>
    </xf>
    <xf numFmtId="3" fontId="60" fillId="2" borderId="83" xfId="20" applyNumberFormat="1" applyFont="1" applyFill="1" applyBorder="1" applyAlignment="1">
      <alignment horizontal="right" vertical="center"/>
      <protection/>
    </xf>
    <xf numFmtId="3" fontId="60" fillId="2" borderId="84" xfId="20" applyNumberFormat="1" applyFont="1" applyFill="1" applyBorder="1" applyAlignment="1">
      <alignment horizontal="right" vertical="center"/>
      <protection/>
    </xf>
    <xf numFmtId="3" fontId="60" fillId="2" borderId="68" xfId="20" applyNumberFormat="1" applyFont="1" applyFill="1" applyBorder="1" applyAlignment="1">
      <alignment horizontal="right" vertical="center"/>
      <protection/>
    </xf>
    <xf numFmtId="3" fontId="29" fillId="2" borderId="65" xfId="20" applyNumberFormat="1" applyFont="1" applyFill="1" applyBorder="1" applyAlignment="1">
      <alignment horizontal="center" vertical="center"/>
      <protection/>
    </xf>
    <xf numFmtId="3" fontId="60" fillId="2" borderId="65" xfId="20" applyNumberFormat="1" applyFont="1" applyFill="1" applyBorder="1" applyAlignment="1">
      <alignment horizontal="right" vertical="center"/>
      <protection/>
    </xf>
    <xf numFmtId="169" fontId="29" fillId="2" borderId="63" xfId="20" applyNumberFormat="1" applyFont="1" applyFill="1" applyBorder="1" applyAlignment="1">
      <alignment horizontal="center" vertical="center"/>
      <protection/>
    </xf>
    <xf numFmtId="169" fontId="29" fillId="2" borderId="74" xfId="20" applyNumberFormat="1" applyFont="1" applyFill="1" applyBorder="1" applyAlignment="1">
      <alignment horizontal="center" vertical="center"/>
      <protection/>
    </xf>
    <xf numFmtId="169" fontId="29" fillId="2" borderId="65" xfId="20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66" fillId="2" borderId="0" xfId="20" applyFont="1" applyFill="1" applyAlignment="1">
      <alignment horizontal="left" vertical="top" wrapText="1"/>
      <protection/>
    </xf>
    <xf numFmtId="3" fontId="12" fillId="2" borderId="65" xfId="20" applyNumberFormat="1" applyFont="1" applyFill="1" applyBorder="1" applyAlignment="1">
      <alignment horizontal="center" vertical="center"/>
      <protection/>
    </xf>
    <xf numFmtId="0" fontId="12" fillId="17" borderId="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3" fontId="12" fillId="2" borderId="81" xfId="20" applyNumberFormat="1" applyFont="1" applyFill="1" applyBorder="1" applyAlignment="1">
      <alignment horizontal="center" vertical="center"/>
      <protection/>
    </xf>
    <xf numFmtId="3" fontId="12" fillId="2" borderId="82" xfId="20" applyNumberFormat="1" applyFont="1" applyFill="1" applyBorder="1" applyAlignment="1">
      <alignment horizontal="center" vertical="center"/>
      <protection/>
    </xf>
    <xf numFmtId="170" fontId="60" fillId="2" borderId="63" xfId="30" applyNumberFormat="1" applyFont="1" applyFill="1" applyBorder="1" applyAlignment="1">
      <alignment horizontal="center" vertical="center"/>
    </xf>
    <xf numFmtId="170" fontId="60" fillId="2" borderId="74" xfId="30" applyNumberFormat="1" applyFont="1" applyFill="1" applyBorder="1" applyAlignment="1">
      <alignment horizontal="center" vertical="center"/>
    </xf>
    <xf numFmtId="3" fontId="12" fillId="2" borderId="62" xfId="20" applyNumberFormat="1" applyFont="1" applyFill="1" applyBorder="1" applyAlignment="1">
      <alignment horizontal="center" vertical="center"/>
      <protection/>
    </xf>
    <xf numFmtId="3" fontId="12" fillId="2" borderId="72" xfId="20" applyNumberFormat="1" applyFont="1" applyFill="1" applyBorder="1" applyAlignment="1">
      <alignment horizontal="center" vertical="center"/>
      <protection/>
    </xf>
    <xf numFmtId="3" fontId="12" fillId="2" borderId="71" xfId="20" applyNumberFormat="1" applyFont="1" applyFill="1" applyBorder="1" applyAlignment="1">
      <alignment horizontal="center" vertical="center"/>
      <protection/>
    </xf>
    <xf numFmtId="170" fontId="60" fillId="2" borderId="65" xfId="30" applyNumberFormat="1" applyFont="1" applyFill="1" applyBorder="1" applyAlignment="1">
      <alignment horizontal="center" vertical="center"/>
    </xf>
    <xf numFmtId="170" fontId="29" fillId="2" borderId="63" xfId="30" applyNumberFormat="1" applyFont="1" applyFill="1" applyBorder="1" applyAlignment="1">
      <alignment horizontal="center" vertical="center"/>
    </xf>
    <xf numFmtId="170" fontId="29" fillId="2" borderId="65" xfId="30" applyNumberFormat="1" applyFont="1" applyFill="1" applyBorder="1" applyAlignment="1">
      <alignment horizontal="center" vertical="center"/>
    </xf>
    <xf numFmtId="4" fontId="29" fillId="2" borderId="81" xfId="20" applyNumberFormat="1" applyFont="1" applyFill="1" applyBorder="1" applyAlignment="1">
      <alignment horizontal="center" vertical="center"/>
      <protection/>
    </xf>
    <xf numFmtId="4" fontId="29" fillId="2" borderId="82" xfId="20" applyNumberFormat="1" applyFont="1" applyFill="1" applyBorder="1" applyAlignment="1">
      <alignment horizontal="center" vertical="center"/>
      <protection/>
    </xf>
    <xf numFmtId="170" fontId="29" fillId="2" borderId="83" xfId="30" applyNumberFormat="1" applyFont="1" applyFill="1" applyBorder="1" applyAlignment="1">
      <alignment horizontal="center" vertical="center"/>
    </xf>
    <xf numFmtId="170" fontId="29" fillId="2" borderId="84" xfId="30" applyNumberFormat="1" applyFont="1" applyFill="1" applyBorder="1" applyAlignment="1">
      <alignment horizontal="center" vertical="center"/>
    </xf>
    <xf numFmtId="170" fontId="29" fillId="2" borderId="68" xfId="30" applyNumberFormat="1" applyFont="1" applyFill="1" applyBorder="1" applyAlignment="1">
      <alignment horizontal="center" vertical="center"/>
    </xf>
    <xf numFmtId="170" fontId="60" fillId="2" borderId="83" xfId="30" applyNumberFormat="1" applyFont="1" applyFill="1" applyBorder="1" applyAlignment="1">
      <alignment horizontal="center" vertical="center"/>
    </xf>
    <xf numFmtId="170" fontId="60" fillId="2" borderId="84" xfId="30" applyNumberFormat="1" applyFont="1" applyFill="1" applyBorder="1" applyAlignment="1">
      <alignment horizontal="center" vertical="center"/>
    </xf>
    <xf numFmtId="170" fontId="60" fillId="2" borderId="68" xfId="30" applyNumberFormat="1" applyFont="1" applyFill="1" applyBorder="1" applyAlignment="1">
      <alignment horizontal="center" vertical="center"/>
    </xf>
    <xf numFmtId="3" fontId="12" fillId="11" borderId="62" xfId="20" applyNumberFormat="1" applyFont="1" applyFill="1" applyBorder="1" applyAlignment="1">
      <alignment horizontal="center" vertical="center"/>
      <protection/>
    </xf>
    <xf numFmtId="3" fontId="12" fillId="11" borderId="72" xfId="20" applyNumberFormat="1" applyFont="1" applyFill="1" applyBorder="1" applyAlignment="1">
      <alignment horizontal="center" vertical="center"/>
      <protection/>
    </xf>
    <xf numFmtId="3" fontId="12" fillId="11" borderId="71" xfId="20" applyNumberFormat="1" applyFont="1" applyFill="1" applyBorder="1" applyAlignment="1">
      <alignment horizontal="center" vertical="center"/>
      <protection/>
    </xf>
    <xf numFmtId="170" fontId="60" fillId="11" borderId="63" xfId="30" applyNumberFormat="1" applyFont="1" applyFill="1" applyBorder="1" applyAlignment="1">
      <alignment horizontal="center" vertical="center"/>
    </xf>
    <xf numFmtId="170" fontId="60" fillId="11" borderId="74" xfId="30" applyNumberFormat="1" applyFont="1" applyFill="1" applyBorder="1" applyAlignment="1">
      <alignment horizontal="center" vertical="center"/>
    </xf>
    <xf numFmtId="170" fontId="60" fillId="11" borderId="65" xfId="3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3" fontId="9" fillId="0" borderId="60" xfId="20" applyNumberFormat="1" applyFont="1" applyFill="1" applyBorder="1" applyAlignment="1">
      <alignment horizontal="center" vertical="center"/>
      <protection/>
    </xf>
    <xf numFmtId="170" fontId="9" fillId="0" borderId="60" xfId="30" applyNumberFormat="1" applyFont="1" applyFill="1" applyBorder="1" applyAlignment="1">
      <alignment horizontal="center" vertical="center"/>
    </xf>
    <xf numFmtId="170" fontId="60" fillId="2" borderId="60" xfId="30" applyNumberFormat="1" applyFont="1" applyFill="1" applyBorder="1" applyAlignment="1">
      <alignment horizontal="center" vertical="center"/>
    </xf>
    <xf numFmtId="3" fontId="9" fillId="0" borderId="62" xfId="20" applyNumberFormat="1" applyFont="1" applyFill="1" applyBorder="1" applyAlignment="1">
      <alignment horizontal="center" vertical="center"/>
      <protection/>
    </xf>
    <xf numFmtId="3" fontId="9" fillId="0" borderId="72" xfId="20" applyNumberFormat="1" applyFont="1" applyFill="1" applyBorder="1" applyAlignment="1">
      <alignment horizontal="center" vertical="center"/>
      <protection/>
    </xf>
    <xf numFmtId="3" fontId="9" fillId="0" borderId="71" xfId="20" applyNumberFormat="1" applyFont="1" applyFill="1" applyBorder="1" applyAlignment="1">
      <alignment horizontal="center" vertical="center"/>
      <protection/>
    </xf>
    <xf numFmtId="3" fontId="9" fillId="0" borderId="63" xfId="20" applyNumberFormat="1" applyFont="1" applyFill="1" applyBorder="1" applyAlignment="1">
      <alignment horizontal="center" vertical="center"/>
      <protection/>
    </xf>
    <xf numFmtId="3" fontId="9" fillId="0" borderId="74" xfId="20" applyNumberFormat="1" applyFont="1" applyFill="1" applyBorder="1" applyAlignment="1">
      <alignment horizontal="center" vertical="center"/>
      <protection/>
    </xf>
    <xf numFmtId="3" fontId="12" fillId="0" borderId="63" xfId="20" applyNumberFormat="1" applyFont="1" applyFill="1" applyBorder="1" applyAlignment="1">
      <alignment horizontal="center" vertical="center"/>
      <protection/>
    </xf>
    <xf numFmtId="3" fontId="12" fillId="0" borderId="74" xfId="20" applyNumberFormat="1" applyFont="1" applyFill="1" applyBorder="1" applyAlignment="1">
      <alignment horizontal="center" vertical="center"/>
      <protection/>
    </xf>
    <xf numFmtId="170" fontId="60" fillId="0" borderId="63" xfId="30" applyNumberFormat="1" applyFont="1" applyFill="1" applyBorder="1" applyAlignment="1">
      <alignment horizontal="center" vertical="center"/>
    </xf>
    <xf numFmtId="170" fontId="60" fillId="0" borderId="74" xfId="30" applyNumberFormat="1" applyFont="1" applyFill="1" applyBorder="1" applyAlignment="1">
      <alignment horizontal="center" vertical="center"/>
    </xf>
    <xf numFmtId="3" fontId="12" fillId="2" borderId="60" xfId="20" applyNumberFormat="1" applyFont="1" applyFill="1" applyBorder="1" applyAlignment="1">
      <alignment horizontal="center" vertical="center"/>
      <protection/>
    </xf>
    <xf numFmtId="3" fontId="12" fillId="2" borderId="60" xfId="20" applyNumberFormat="1" applyFont="1" applyFill="1" applyBorder="1" applyAlignment="1">
      <alignment horizontal="center" vertical="center" wrapText="1"/>
      <protection/>
    </xf>
    <xf numFmtId="0" fontId="65" fillId="17" borderId="0" xfId="0" applyFont="1" applyFill="1" applyBorder="1" applyAlignment="1">
      <alignment horizontal="center" vertical="center"/>
    </xf>
    <xf numFmtId="3" fontId="29" fillId="2" borderId="60" xfId="20" applyNumberFormat="1" applyFont="1" applyFill="1" applyBorder="1" applyAlignment="1">
      <alignment horizontal="center" vertical="center"/>
      <protection/>
    </xf>
    <xf numFmtId="170" fontId="29" fillId="2" borderId="60" xfId="30" applyNumberFormat="1" applyFont="1" applyFill="1" applyBorder="1" applyAlignment="1">
      <alignment horizontal="center" vertical="center"/>
    </xf>
    <xf numFmtId="170" fontId="60" fillId="2" borderId="57" xfId="30" applyNumberFormat="1" applyFont="1" applyFill="1" applyBorder="1" applyAlignment="1">
      <alignment horizontal="center" vertical="center"/>
    </xf>
    <xf numFmtId="170" fontId="60" fillId="2" borderId="24" xfId="30" applyNumberFormat="1" applyFont="1" applyFill="1" applyBorder="1" applyAlignment="1">
      <alignment horizontal="center" vertical="center"/>
    </xf>
    <xf numFmtId="170" fontId="60" fillId="2" borderId="39" xfId="30" applyNumberFormat="1" applyFont="1" applyFill="1" applyBorder="1" applyAlignment="1">
      <alignment horizontal="center" vertical="center"/>
    </xf>
    <xf numFmtId="3" fontId="12" fillId="2" borderId="57" xfId="20" applyNumberFormat="1" applyFont="1" applyFill="1" applyBorder="1" applyAlignment="1">
      <alignment horizontal="center" vertical="center"/>
      <protection/>
    </xf>
    <xf numFmtId="3" fontId="12" fillId="2" borderId="24" xfId="20" applyNumberFormat="1" applyFont="1" applyFill="1" applyBorder="1" applyAlignment="1">
      <alignment horizontal="center" vertical="center"/>
      <protection/>
    </xf>
    <xf numFmtId="3" fontId="12" fillId="2" borderId="39" xfId="20" applyNumberFormat="1" applyFont="1" applyFill="1" applyBorder="1" applyAlignment="1">
      <alignment horizontal="center" vertical="center"/>
      <protection/>
    </xf>
    <xf numFmtId="3" fontId="12" fillId="0" borderId="57" xfId="20" applyNumberFormat="1" applyFont="1" applyFill="1" applyBorder="1" applyAlignment="1">
      <alignment horizontal="center" vertical="center"/>
      <protection/>
    </xf>
    <xf numFmtId="3" fontId="12" fillId="0" borderId="24" xfId="20" applyNumberFormat="1" applyFont="1" applyFill="1" applyBorder="1" applyAlignment="1">
      <alignment horizontal="center" vertical="center"/>
      <protection/>
    </xf>
    <xf numFmtId="3" fontId="12" fillId="0" borderId="39" xfId="20" applyNumberFormat="1" applyFont="1" applyFill="1" applyBorder="1" applyAlignment="1">
      <alignment horizontal="center" vertical="center"/>
      <protection/>
    </xf>
    <xf numFmtId="170" fontId="60" fillId="0" borderId="57" xfId="30" applyNumberFormat="1" applyFont="1" applyFill="1" applyBorder="1" applyAlignment="1">
      <alignment horizontal="center" vertical="center"/>
    </xf>
    <xf numFmtId="170" fontId="60" fillId="0" borderId="24" xfId="30" applyNumberFormat="1" applyFont="1" applyFill="1" applyBorder="1" applyAlignment="1">
      <alignment horizontal="center" vertical="center"/>
    </xf>
    <xf numFmtId="170" fontId="60" fillId="0" borderId="39" xfId="30" applyNumberFormat="1" applyFont="1" applyFill="1" applyBorder="1" applyAlignment="1">
      <alignment horizontal="center" vertical="center"/>
    </xf>
    <xf numFmtId="3" fontId="12" fillId="11" borderId="57" xfId="20" applyNumberFormat="1" applyFont="1" applyFill="1" applyBorder="1" applyAlignment="1">
      <alignment horizontal="center" vertical="center"/>
      <protection/>
    </xf>
    <xf numFmtId="3" fontId="12" fillId="11" borderId="24" xfId="20" applyNumberFormat="1" applyFont="1" applyFill="1" applyBorder="1" applyAlignment="1">
      <alignment horizontal="center" vertical="center"/>
      <protection/>
    </xf>
    <xf numFmtId="3" fontId="12" fillId="11" borderId="39" xfId="20" applyNumberFormat="1" applyFont="1" applyFill="1" applyBorder="1" applyAlignment="1">
      <alignment horizontal="center" vertical="center"/>
      <protection/>
    </xf>
    <xf numFmtId="170" fontId="60" fillId="11" borderId="57" xfId="30" applyNumberFormat="1" applyFont="1" applyFill="1" applyBorder="1" applyAlignment="1">
      <alignment horizontal="center" vertical="center"/>
    </xf>
    <xf numFmtId="170" fontId="60" fillId="11" borderId="24" xfId="30" applyNumberFormat="1" applyFont="1" applyFill="1" applyBorder="1" applyAlignment="1">
      <alignment horizontal="center" vertical="center"/>
    </xf>
    <xf numFmtId="170" fontId="60" fillId="11" borderId="39" xfId="30" applyNumberFormat="1" applyFont="1" applyFill="1" applyBorder="1" applyAlignment="1">
      <alignment horizontal="center" vertical="center"/>
    </xf>
    <xf numFmtId="3" fontId="12" fillId="0" borderId="57" xfId="20" applyNumberFormat="1" applyFont="1" applyFill="1" applyBorder="1" applyAlignment="1">
      <alignment horizontal="center" vertical="center" wrapText="1"/>
      <protection/>
    </xf>
    <xf numFmtId="3" fontId="12" fillId="0" borderId="24" xfId="20" applyNumberFormat="1" applyFont="1" applyFill="1" applyBorder="1" applyAlignment="1">
      <alignment horizontal="center" vertical="center" wrapText="1"/>
      <protection/>
    </xf>
    <xf numFmtId="3" fontId="12" fillId="0" borderId="39" xfId="20" applyNumberFormat="1" applyFont="1" applyFill="1" applyBorder="1" applyAlignment="1">
      <alignment horizontal="center" vertical="center" wrapText="1"/>
      <protection/>
    </xf>
    <xf numFmtId="3" fontId="9" fillId="0" borderId="65" xfId="20" applyNumberFormat="1" applyFont="1" applyFill="1" applyBorder="1" applyAlignment="1">
      <alignment horizontal="center" vertical="center"/>
      <protection/>
    </xf>
    <xf numFmtId="170" fontId="60" fillId="0" borderId="60" xfId="30" applyNumberFormat="1" applyFont="1" applyFill="1" applyBorder="1" applyAlignment="1">
      <alignment horizontal="center" vertical="center"/>
    </xf>
    <xf numFmtId="3" fontId="12" fillId="11" borderId="57" xfId="20" applyNumberFormat="1" applyFont="1" applyFill="1" applyBorder="1" applyAlignment="1">
      <alignment horizontal="center" vertical="center" wrapText="1"/>
      <protection/>
    </xf>
    <xf numFmtId="3" fontId="12" fillId="11" borderId="24" xfId="20" applyNumberFormat="1" applyFont="1" applyFill="1" applyBorder="1" applyAlignment="1">
      <alignment horizontal="center" vertical="center" wrapText="1"/>
      <protection/>
    </xf>
    <xf numFmtId="3" fontId="12" fillId="11" borderId="39" xfId="20" applyNumberFormat="1" applyFont="1" applyFill="1" applyBorder="1" applyAlignment="1">
      <alignment horizontal="center" vertical="center" wrapText="1"/>
      <protection/>
    </xf>
    <xf numFmtId="170" fontId="6" fillId="0" borderId="63" xfId="30" applyNumberFormat="1" applyFont="1" applyFill="1" applyBorder="1" applyAlignment="1">
      <alignment horizontal="center" vertical="center"/>
    </xf>
    <xf numFmtId="170" fontId="6" fillId="0" borderId="74" xfId="30" applyNumberFormat="1" applyFont="1" applyFill="1" applyBorder="1" applyAlignment="1">
      <alignment horizontal="center" vertical="center"/>
    </xf>
    <xf numFmtId="170" fontId="6" fillId="0" borderId="65" xfId="30" applyNumberFormat="1" applyFont="1" applyFill="1" applyBorder="1" applyAlignment="1">
      <alignment horizontal="center" vertical="center"/>
    </xf>
    <xf numFmtId="3" fontId="9" fillId="0" borderId="57" xfId="20" applyNumberFormat="1" applyFont="1" applyFill="1" applyBorder="1" applyAlignment="1">
      <alignment horizontal="center" vertical="center" wrapText="1"/>
      <protection/>
    </xf>
    <xf numFmtId="3" fontId="9" fillId="0" borderId="24" xfId="20" applyNumberFormat="1" applyFont="1" applyFill="1" applyBorder="1" applyAlignment="1">
      <alignment horizontal="center" vertical="center" wrapText="1"/>
      <protection/>
    </xf>
    <xf numFmtId="3" fontId="9" fillId="0" borderId="39" xfId="20" applyNumberFormat="1" applyFont="1" applyFill="1" applyBorder="1" applyAlignment="1">
      <alignment horizontal="center" vertical="center" wrapText="1"/>
      <protection/>
    </xf>
    <xf numFmtId="170" fontId="29" fillId="2" borderId="74" xfId="30" applyNumberFormat="1" applyFont="1" applyFill="1" applyBorder="1" applyAlignment="1">
      <alignment horizontal="center" vertical="center"/>
    </xf>
    <xf numFmtId="3" fontId="9" fillId="0" borderId="57" xfId="20" applyNumberFormat="1" applyFont="1" applyFill="1" applyBorder="1" applyAlignment="1">
      <alignment horizontal="center" vertical="center"/>
      <protection/>
    </xf>
    <xf numFmtId="170" fontId="9" fillId="0" borderId="63" xfId="30" applyNumberFormat="1" applyFont="1" applyFill="1" applyBorder="1" applyAlignment="1">
      <alignment horizontal="center" vertical="center"/>
    </xf>
    <xf numFmtId="170" fontId="9" fillId="0" borderId="74" xfId="30" applyNumberFormat="1" applyFont="1" applyFill="1" applyBorder="1" applyAlignment="1">
      <alignment horizontal="center" vertical="center"/>
    </xf>
    <xf numFmtId="170" fontId="9" fillId="0" borderId="65" xfId="30" applyNumberFormat="1" applyFont="1" applyFill="1" applyBorder="1" applyAlignment="1">
      <alignment horizontal="center" vertical="center"/>
    </xf>
    <xf numFmtId="170" fontId="60" fillId="0" borderId="65" xfId="30" applyNumberFormat="1" applyFont="1" applyFill="1" applyBorder="1" applyAlignment="1">
      <alignment horizontal="center" vertical="center"/>
    </xf>
    <xf numFmtId="3" fontId="12" fillId="0" borderId="62" xfId="20" applyNumberFormat="1" applyFont="1" applyFill="1" applyBorder="1" applyAlignment="1">
      <alignment horizontal="center" vertical="center"/>
      <protection/>
    </xf>
    <xf numFmtId="3" fontId="12" fillId="0" borderId="72" xfId="20" applyNumberFormat="1" applyFont="1" applyFill="1" applyBorder="1" applyAlignment="1">
      <alignment horizontal="center" vertical="center"/>
      <protection/>
    </xf>
    <xf numFmtId="3" fontId="12" fillId="0" borderId="71" xfId="20" applyNumberFormat="1" applyFont="1" applyFill="1" applyBorder="1" applyAlignment="1">
      <alignment horizontal="center" vertical="center"/>
      <protection/>
    </xf>
    <xf numFmtId="3" fontId="12" fillId="0" borderId="65" xfId="20" applyNumberFormat="1" applyFont="1" applyFill="1" applyBorder="1" applyAlignment="1">
      <alignment horizontal="center" vertical="center"/>
      <protection/>
    </xf>
    <xf numFmtId="169" fontId="60" fillId="0" borderId="63" xfId="20" applyNumberFormat="1" applyFont="1" applyFill="1" applyBorder="1" applyAlignment="1">
      <alignment horizontal="center" vertical="center"/>
      <protection/>
    </xf>
    <xf numFmtId="169" fontId="60" fillId="0" borderId="74" xfId="20" applyNumberFormat="1" applyFont="1" applyFill="1" applyBorder="1" applyAlignment="1">
      <alignment horizontal="center" vertical="center"/>
      <protection/>
    </xf>
    <xf numFmtId="169" fontId="60" fillId="0" borderId="65" xfId="20" applyNumberFormat="1" applyFont="1" applyFill="1" applyBorder="1" applyAlignment="1">
      <alignment horizontal="center" vertical="center"/>
      <protection/>
    </xf>
    <xf numFmtId="3" fontId="82" fillId="2" borderId="60" xfId="20" applyNumberFormat="1" applyFont="1" applyFill="1" applyBorder="1" applyAlignment="1">
      <alignment horizontal="center" vertical="center"/>
      <protection/>
    </xf>
    <xf numFmtId="170" fontId="82" fillId="2" borderId="60" xfId="30" applyNumberFormat="1" applyFont="1" applyFill="1" applyBorder="1" applyAlignment="1">
      <alignment horizontal="center" vertical="center"/>
    </xf>
    <xf numFmtId="170" fontId="57" fillId="2" borderId="63" xfId="30" applyNumberFormat="1" applyFont="1" applyFill="1" applyBorder="1" applyAlignment="1">
      <alignment horizontal="center" vertical="center"/>
    </xf>
    <xf numFmtId="170" fontId="57" fillId="2" borderId="74" xfId="30" applyNumberFormat="1" applyFont="1" applyFill="1" applyBorder="1" applyAlignment="1">
      <alignment horizontal="center" vertical="center"/>
    </xf>
    <xf numFmtId="170" fontId="57" fillId="2" borderId="65" xfId="30" applyNumberFormat="1" applyFont="1" applyFill="1" applyBorder="1" applyAlignment="1">
      <alignment horizontal="center" vertical="center"/>
    </xf>
    <xf numFmtId="3" fontId="30" fillId="11" borderId="57" xfId="20" applyNumberFormat="1" applyFont="1" applyFill="1" applyBorder="1" applyAlignment="1">
      <alignment horizontal="center" vertical="center" wrapText="1"/>
      <protection/>
    </xf>
    <xf numFmtId="3" fontId="30" fillId="11" borderId="24" xfId="20" applyNumberFormat="1" applyFont="1" applyFill="1" applyBorder="1" applyAlignment="1">
      <alignment horizontal="center" vertical="center" wrapText="1"/>
      <protection/>
    </xf>
    <xf numFmtId="3" fontId="30" fillId="11" borderId="39" xfId="20" applyNumberFormat="1" applyFont="1" applyFill="1" applyBorder="1" applyAlignment="1">
      <alignment horizontal="center" vertical="center" wrapText="1"/>
      <protection/>
    </xf>
    <xf numFmtId="3" fontId="12" fillId="11" borderId="60" xfId="20" applyNumberFormat="1" applyFont="1" applyFill="1" applyBorder="1" applyAlignment="1">
      <alignment horizontal="center" vertical="center"/>
      <protection/>
    </xf>
    <xf numFmtId="170" fontId="60" fillId="11" borderId="60" xfId="30" applyNumberFormat="1" applyFont="1" applyFill="1" applyBorder="1" applyAlignment="1">
      <alignment horizontal="center" vertical="center"/>
    </xf>
    <xf numFmtId="3" fontId="82" fillId="2" borderId="63" xfId="20" applyNumberFormat="1" applyFont="1" applyFill="1" applyBorder="1" applyAlignment="1">
      <alignment horizontal="center" vertical="center"/>
      <protection/>
    </xf>
    <xf numFmtId="3" fontId="82" fillId="2" borderId="74" xfId="20" applyNumberFormat="1" applyFont="1" applyFill="1" applyBorder="1" applyAlignment="1">
      <alignment horizontal="center" vertical="center"/>
      <protection/>
    </xf>
    <xf numFmtId="3" fontId="82" fillId="2" borderId="65" xfId="20" applyNumberFormat="1" applyFont="1" applyFill="1" applyBorder="1" applyAlignment="1">
      <alignment horizontal="center" vertical="center"/>
      <protection/>
    </xf>
    <xf numFmtId="170" fontId="82" fillId="2" borderId="63" xfId="30" applyNumberFormat="1" applyFont="1" applyFill="1" applyBorder="1" applyAlignment="1">
      <alignment horizontal="center" vertical="center"/>
    </xf>
    <xf numFmtId="170" fontId="82" fillId="2" borderId="74" xfId="30" applyNumberFormat="1" applyFont="1" applyFill="1" applyBorder="1" applyAlignment="1">
      <alignment horizontal="center" vertical="center"/>
    </xf>
    <xf numFmtId="170" fontId="82" fillId="2" borderId="65" xfId="30" applyNumberFormat="1" applyFont="1" applyFill="1" applyBorder="1" applyAlignment="1">
      <alignment horizontal="center" vertical="center"/>
    </xf>
    <xf numFmtId="3" fontId="12" fillId="11" borderId="63" xfId="20" applyNumberFormat="1" applyFont="1" applyFill="1" applyBorder="1" applyAlignment="1">
      <alignment horizontal="center" vertical="center"/>
      <protection/>
    </xf>
    <xf numFmtId="3" fontId="12" fillId="11" borderId="74" xfId="20" applyNumberFormat="1" applyFont="1" applyFill="1" applyBorder="1" applyAlignment="1">
      <alignment horizontal="center" vertical="center"/>
      <protection/>
    </xf>
    <xf numFmtId="3" fontId="12" fillId="11" borderId="65" xfId="20" applyNumberFormat="1" applyFont="1" applyFill="1" applyBorder="1" applyAlignment="1">
      <alignment horizontal="center" vertical="center"/>
      <protection/>
    </xf>
    <xf numFmtId="3" fontId="29" fillId="2" borderId="60" xfId="20" applyNumberFormat="1" applyFont="1" applyFill="1" applyBorder="1" applyAlignment="1">
      <alignment horizontal="center" vertical="center" wrapText="1"/>
      <protection/>
    </xf>
    <xf numFmtId="3" fontId="12" fillId="2" borderId="63" xfId="20" applyNumberFormat="1" applyFont="1" applyFill="1" applyBorder="1" applyAlignment="1">
      <alignment horizontal="center" vertical="center" wrapText="1"/>
      <protection/>
    </xf>
    <xf numFmtId="3" fontId="12" fillId="2" borderId="74" xfId="20" applyNumberFormat="1" applyFont="1" applyFill="1" applyBorder="1" applyAlignment="1">
      <alignment horizontal="center" vertical="center" wrapText="1"/>
      <protection/>
    </xf>
    <xf numFmtId="3" fontId="12" fillId="2" borderId="65" xfId="20" applyNumberFormat="1" applyFont="1" applyFill="1" applyBorder="1" applyAlignment="1">
      <alignment horizontal="center" vertical="center" wrapText="1"/>
      <protection/>
    </xf>
    <xf numFmtId="3" fontId="82" fillId="2" borderId="63" xfId="20" applyNumberFormat="1" applyFont="1" applyFill="1" applyBorder="1" applyAlignment="1">
      <alignment horizontal="center" vertical="center" wrapText="1"/>
      <protection/>
    </xf>
    <xf numFmtId="3" fontId="82" fillId="2" borderId="74" xfId="20" applyNumberFormat="1" applyFont="1" applyFill="1" applyBorder="1" applyAlignment="1">
      <alignment horizontal="center" vertical="center" wrapText="1"/>
      <protection/>
    </xf>
    <xf numFmtId="3" fontId="82" fillId="2" borderId="65" xfId="20" applyNumberFormat="1" applyFont="1" applyFill="1" applyBorder="1" applyAlignment="1">
      <alignment horizontal="center" vertical="center" wrapText="1"/>
      <protection/>
    </xf>
    <xf numFmtId="3" fontId="29" fillId="2" borderId="63" xfId="20" applyNumberFormat="1" applyFont="1" applyFill="1" applyBorder="1" applyAlignment="1">
      <alignment horizontal="center" vertical="center" wrapText="1"/>
      <protection/>
    </xf>
    <xf numFmtId="3" fontId="29" fillId="2" borderId="74" xfId="20" applyNumberFormat="1" applyFont="1" applyFill="1" applyBorder="1" applyAlignment="1">
      <alignment horizontal="center" vertical="center" wrapText="1"/>
      <protection/>
    </xf>
    <xf numFmtId="3" fontId="29" fillId="2" borderId="65" xfId="20" applyNumberFormat="1" applyFont="1" applyFill="1" applyBorder="1" applyAlignment="1">
      <alignment horizontal="center" vertical="center" wrapText="1"/>
      <protection/>
    </xf>
    <xf numFmtId="3" fontId="12" fillId="11" borderId="63" xfId="20" applyNumberFormat="1" applyFont="1" applyFill="1" applyBorder="1" applyAlignment="1">
      <alignment horizontal="center" vertical="center" wrapText="1"/>
      <protection/>
    </xf>
    <xf numFmtId="3" fontId="12" fillId="11" borderId="74" xfId="20" applyNumberFormat="1" applyFont="1" applyFill="1" applyBorder="1" applyAlignment="1">
      <alignment horizontal="center" vertical="center" wrapText="1"/>
      <protection/>
    </xf>
    <xf numFmtId="3" fontId="12" fillId="11" borderId="65" xfId="20" applyNumberFormat="1" applyFont="1" applyFill="1" applyBorder="1" applyAlignment="1">
      <alignment horizontal="center" vertical="center" wrapText="1"/>
      <protection/>
    </xf>
    <xf numFmtId="0" fontId="76" fillId="17" borderId="0" xfId="0" applyFont="1" applyFill="1" applyBorder="1" applyAlignment="1">
      <alignment horizontal="center" vertical="center"/>
    </xf>
    <xf numFmtId="0" fontId="73" fillId="17" borderId="0" xfId="0" applyFont="1" applyFill="1" applyBorder="1" applyAlignment="1">
      <alignment horizontal="center" vertical="center"/>
    </xf>
    <xf numFmtId="0" fontId="78" fillId="17" borderId="0" xfId="0" applyFont="1" applyFill="1" applyBorder="1" applyAlignment="1">
      <alignment horizontal="center" vertical="center"/>
    </xf>
    <xf numFmtId="0" fontId="63" fillId="17" borderId="0" xfId="0" applyFont="1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Procenta" xfId="21"/>
    <cellStyle name="normální 2 2" xfId="22"/>
    <cellStyle name="normální 2" xfId="23"/>
    <cellStyle name="procent 2" xfId="24"/>
    <cellStyle name="Normální 3" xfId="25"/>
    <cellStyle name="Normální 4" xfId="26"/>
    <cellStyle name="Normální 5" xfId="27"/>
    <cellStyle name="Hypertextový odkaz" xfId="28"/>
    <cellStyle name="Normální 6" xfId="29"/>
    <cellStyle name="Čárka" xfId="30"/>
  </cellStyles>
  <dxfs count="336"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  <dxf>
      <font>
        <b val="0"/>
        <i/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</sheetPr>
  <dimension ref="B2:AA53"/>
  <sheetViews>
    <sheetView showGridLines="0" zoomScale="55" zoomScaleNormal="55" workbookViewId="0" topLeftCell="A1">
      <selection activeCell="AC47" sqref="AC47"/>
    </sheetView>
  </sheetViews>
  <sheetFormatPr defaultColWidth="9.140625" defaultRowHeight="15" outlineLevelCol="1"/>
  <cols>
    <col min="1" max="1" width="1.7109375" style="23" customWidth="1"/>
    <col min="2" max="2" width="9.140625" style="23" customWidth="1"/>
    <col min="3" max="3" width="25.00390625" style="23" customWidth="1"/>
    <col min="4" max="4" width="11.8515625" style="23" customWidth="1"/>
    <col min="5" max="5" width="17.28125" style="23" customWidth="1"/>
    <col min="6" max="6" width="11.57421875" style="23" customWidth="1"/>
    <col min="7" max="8" width="11.8515625" style="23" customWidth="1"/>
    <col min="9" max="9" width="11.140625" style="23" customWidth="1"/>
    <col min="10" max="10" width="11.7109375" style="23" customWidth="1"/>
    <col min="11" max="11" width="12.7109375" style="23" customWidth="1"/>
    <col min="12" max="12" width="11.7109375" style="23" customWidth="1"/>
    <col min="13" max="14" width="12.00390625" style="23" customWidth="1"/>
    <col min="15" max="15" width="11.140625" style="23" customWidth="1"/>
    <col min="16" max="18" width="11.140625" style="23" hidden="1" customWidth="1" outlineLevel="1"/>
    <col min="19" max="19" width="11.57421875" style="23" hidden="1" customWidth="1" outlineLevel="1"/>
    <col min="20" max="22" width="11.140625" style="23" hidden="1" customWidth="1" outlineLevel="1"/>
    <col min="23" max="23" width="11.57421875" style="23" hidden="1" customWidth="1" outlineLevel="1"/>
    <col min="24" max="24" width="11.140625" style="23" hidden="1" customWidth="1" outlineLevel="1"/>
    <col min="25" max="25" width="12.140625" style="23" hidden="1" customWidth="1" outlineLevel="1"/>
    <col min="26" max="26" width="10.7109375" style="23" customWidth="1" collapsed="1"/>
    <col min="27" max="27" width="11.00390625" style="23" customWidth="1"/>
    <col min="28" max="16384" width="9.140625" style="23" customWidth="1"/>
  </cols>
  <sheetData>
    <row r="2" spans="2:26" ht="18.75" customHeight="1" thickBot="1">
      <c r="B2" s="20" t="s">
        <v>14</v>
      </c>
      <c r="C2" s="21"/>
      <c r="D2" s="611" t="s">
        <v>131</v>
      </c>
      <c r="E2" s="612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4"/>
      <c r="Z2" s="22"/>
    </row>
    <row r="3" spans="2:27" ht="15">
      <c r="B3" s="615" t="s">
        <v>15</v>
      </c>
      <c r="C3" s="617" t="s">
        <v>16</v>
      </c>
      <c r="D3" s="619" t="s">
        <v>132</v>
      </c>
      <c r="E3" s="621" t="s">
        <v>17</v>
      </c>
      <c r="F3" s="24" t="s">
        <v>18</v>
      </c>
      <c r="G3" s="25" t="s">
        <v>19</v>
      </c>
      <c r="H3" s="25" t="s">
        <v>20</v>
      </c>
      <c r="I3" s="25" t="s">
        <v>21</v>
      </c>
      <c r="J3" s="25" t="s">
        <v>22</v>
      </c>
      <c r="K3" s="25" t="s">
        <v>23</v>
      </c>
      <c r="L3" s="25" t="s">
        <v>24</v>
      </c>
      <c r="M3" s="25" t="s">
        <v>25</v>
      </c>
      <c r="N3" s="25" t="s">
        <v>26</v>
      </c>
      <c r="O3" s="25" t="s">
        <v>27</v>
      </c>
      <c r="P3" s="277" t="s">
        <v>28</v>
      </c>
      <c r="Q3" s="25" t="s">
        <v>29</v>
      </c>
      <c r="R3" s="25" t="s">
        <v>30</v>
      </c>
      <c r="S3" s="25" t="s">
        <v>31</v>
      </c>
      <c r="T3" s="25" t="s">
        <v>32</v>
      </c>
      <c r="U3" s="25" t="s">
        <v>33</v>
      </c>
      <c r="V3" s="25" t="s">
        <v>34</v>
      </c>
      <c r="W3" s="25" t="s">
        <v>35</v>
      </c>
      <c r="X3" s="25" t="s">
        <v>36</v>
      </c>
      <c r="Y3" s="26" t="s">
        <v>37</v>
      </c>
      <c r="AA3" s="27"/>
    </row>
    <row r="4" spans="2:25" ht="15" customHeight="1">
      <c r="B4" s="616"/>
      <c r="C4" s="618"/>
      <c r="D4" s="620"/>
      <c r="E4" s="622"/>
      <c r="F4" s="623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2:25" ht="15">
      <c r="B5" s="616"/>
      <c r="C5" s="618"/>
      <c r="D5" s="620"/>
      <c r="E5" s="622"/>
      <c r="F5" s="623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5"/>
    </row>
    <row r="6" spans="2:25" ht="15">
      <c r="B6" s="616"/>
      <c r="C6" s="618"/>
      <c r="D6" s="620"/>
      <c r="E6" s="622"/>
      <c r="F6" s="623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5"/>
    </row>
    <row r="7" spans="2:25" ht="15">
      <c r="B7" s="616"/>
      <c r="C7" s="618"/>
      <c r="D7" s="620"/>
      <c r="E7" s="622"/>
      <c r="F7" s="623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5"/>
    </row>
    <row r="8" spans="2:25" ht="15">
      <c r="B8" s="616"/>
      <c r="C8" s="618"/>
      <c r="D8" s="620"/>
      <c r="E8" s="622"/>
      <c r="F8" s="623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5"/>
    </row>
    <row r="9" spans="2:26" ht="20.25" customHeight="1">
      <c r="B9" s="265">
        <v>1</v>
      </c>
      <c r="C9" s="266" t="str">
        <f>'REFERENČNÍ ÚDAJE'!C16</f>
        <v>ZŠ Masarykova</v>
      </c>
      <c r="D9" s="273">
        <f aca="true" t="shared" si="0" ref="D9">SUM(F9:Y9)</f>
        <v>0</v>
      </c>
      <c r="E9" s="274" t="s">
        <v>38</v>
      </c>
      <c r="F9" s="275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8"/>
      <c r="Z9" s="185" t="s">
        <v>109</v>
      </c>
    </row>
    <row r="10" spans="2:26" ht="20.25" customHeight="1">
      <c r="B10" s="265">
        <v>2</v>
      </c>
      <c r="C10" s="266" t="str">
        <f>'REFERENČNÍ ÚDAJE'!C17</f>
        <v>MŠ, ZUŠ, ZŠ č.p. 17</v>
      </c>
      <c r="D10" s="273">
        <f aca="true" t="shared" si="1" ref="D10:D11">SUM(F10:Y10)</f>
        <v>0</v>
      </c>
      <c r="E10" s="274" t="s">
        <v>38</v>
      </c>
      <c r="F10" s="275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8"/>
      <c r="Z10" s="185" t="s">
        <v>109</v>
      </c>
    </row>
    <row r="11" spans="2:26" ht="20.25" customHeight="1">
      <c r="B11" s="265">
        <v>3</v>
      </c>
      <c r="C11" s="266" t="str">
        <f>'REFERENČNÍ ÚDAJE'!C18</f>
        <v>Sportovní hala</v>
      </c>
      <c r="D11" s="273">
        <f t="shared" si="1"/>
        <v>0</v>
      </c>
      <c r="E11" s="274" t="s">
        <v>38</v>
      </c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8"/>
      <c r="Z11" s="185" t="s">
        <v>109</v>
      </c>
    </row>
    <row r="12" spans="2:26" ht="20.25" customHeight="1">
      <c r="B12" s="265">
        <v>4</v>
      </c>
      <c r="C12" s="266" t="str">
        <f>'REFERENČNÍ ÚDAJE'!C19</f>
        <v>Veřejné osvětlení</v>
      </c>
      <c r="D12" s="273">
        <f aca="true" t="shared" si="2" ref="D12">SUM(F12:Y12)</f>
        <v>0</v>
      </c>
      <c r="E12" s="274" t="s">
        <v>38</v>
      </c>
      <c r="F12" s="275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8"/>
      <c r="Z12" s="185" t="s">
        <v>109</v>
      </c>
    </row>
    <row r="13" spans="2:26" ht="20.25" customHeight="1" thickBot="1">
      <c r="B13" s="269" t="s">
        <v>13</v>
      </c>
      <c r="C13" s="270" t="s">
        <v>12</v>
      </c>
      <c r="D13" s="271">
        <f>SUM(D9:D12)</f>
        <v>0</v>
      </c>
      <c r="E13" s="272" t="s">
        <v>13</v>
      </c>
      <c r="F13" s="279">
        <f aca="true" t="shared" si="3" ref="F13:Y13">SUM(F9:F12)</f>
        <v>0</v>
      </c>
      <c r="G13" s="280">
        <f t="shared" si="3"/>
        <v>0</v>
      </c>
      <c r="H13" s="280">
        <f t="shared" si="3"/>
        <v>0</v>
      </c>
      <c r="I13" s="280">
        <f t="shared" si="3"/>
        <v>0</v>
      </c>
      <c r="J13" s="280">
        <f t="shared" si="3"/>
        <v>0</v>
      </c>
      <c r="K13" s="280">
        <f t="shared" si="3"/>
        <v>0</v>
      </c>
      <c r="L13" s="280">
        <f t="shared" si="3"/>
        <v>0</v>
      </c>
      <c r="M13" s="280">
        <f t="shared" si="3"/>
        <v>0</v>
      </c>
      <c r="N13" s="280">
        <f t="shared" si="3"/>
        <v>0</v>
      </c>
      <c r="O13" s="280">
        <f t="shared" si="3"/>
        <v>0</v>
      </c>
      <c r="P13" s="280">
        <f t="shared" si="3"/>
        <v>0</v>
      </c>
      <c r="Q13" s="280">
        <f t="shared" si="3"/>
        <v>0</v>
      </c>
      <c r="R13" s="280">
        <f t="shared" si="3"/>
        <v>0</v>
      </c>
      <c r="S13" s="280">
        <f t="shared" si="3"/>
        <v>0</v>
      </c>
      <c r="T13" s="280">
        <f t="shared" si="3"/>
        <v>0</v>
      </c>
      <c r="U13" s="280">
        <f t="shared" si="3"/>
        <v>0</v>
      </c>
      <c r="V13" s="280">
        <f t="shared" si="3"/>
        <v>0</v>
      </c>
      <c r="W13" s="280">
        <f t="shared" si="3"/>
        <v>0</v>
      </c>
      <c r="X13" s="280">
        <f t="shared" si="3"/>
        <v>0</v>
      </c>
      <c r="Y13" s="282">
        <f t="shared" si="3"/>
        <v>0</v>
      </c>
      <c r="Z13" s="185" t="s">
        <v>109</v>
      </c>
    </row>
    <row r="14" spans="5:25" ht="15">
      <c r="E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8" spans="2:27" ht="18" customHeight="1" thickBot="1">
      <c r="B18" s="29" t="s">
        <v>39</v>
      </c>
      <c r="C18" s="30"/>
      <c r="D18" s="611" t="s">
        <v>133</v>
      </c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22"/>
    </row>
    <row r="19" spans="2:26" ht="15" customHeight="1">
      <c r="B19" s="615" t="s">
        <v>15</v>
      </c>
      <c r="C19" s="617" t="s">
        <v>16</v>
      </c>
      <c r="D19" s="628" t="s">
        <v>134</v>
      </c>
      <c r="E19" s="621" t="s">
        <v>17</v>
      </c>
      <c r="F19" s="24" t="str">
        <f aca="true" t="shared" si="4" ref="F19:Y19">F3</f>
        <v>Opatření 1</v>
      </c>
      <c r="G19" s="25" t="str">
        <f t="shared" si="4"/>
        <v>Opatření 2</v>
      </c>
      <c r="H19" s="25" t="str">
        <f t="shared" si="4"/>
        <v>Opatření 3</v>
      </c>
      <c r="I19" s="25" t="str">
        <f t="shared" si="4"/>
        <v>Opatření 4</v>
      </c>
      <c r="J19" s="25" t="str">
        <f t="shared" si="4"/>
        <v>Opatření 5</v>
      </c>
      <c r="K19" s="25" t="str">
        <f t="shared" si="4"/>
        <v>Opatření 6</v>
      </c>
      <c r="L19" s="25" t="str">
        <f t="shared" si="4"/>
        <v>Opatření 7</v>
      </c>
      <c r="M19" s="25" t="str">
        <f t="shared" si="4"/>
        <v>Opatření 8</v>
      </c>
      <c r="N19" s="25" t="str">
        <f t="shared" si="4"/>
        <v>Opatření 9</v>
      </c>
      <c r="O19" s="25" t="str">
        <f t="shared" si="4"/>
        <v>Opatření 10</v>
      </c>
      <c r="P19" s="25" t="str">
        <f t="shared" si="4"/>
        <v>Opatření 11</v>
      </c>
      <c r="Q19" s="25" t="str">
        <f t="shared" si="4"/>
        <v>Opatření 12</v>
      </c>
      <c r="R19" s="25" t="str">
        <f t="shared" si="4"/>
        <v>Opatření 13</v>
      </c>
      <c r="S19" s="25" t="str">
        <f t="shared" si="4"/>
        <v>Opatření 14</v>
      </c>
      <c r="T19" s="25" t="str">
        <f t="shared" si="4"/>
        <v>Opatření 15</v>
      </c>
      <c r="U19" s="25" t="str">
        <f t="shared" si="4"/>
        <v>Opatření 16</v>
      </c>
      <c r="V19" s="25" t="str">
        <f t="shared" si="4"/>
        <v>Opatření 17</v>
      </c>
      <c r="W19" s="25" t="str">
        <f t="shared" si="4"/>
        <v>Opatření 18</v>
      </c>
      <c r="X19" s="25" t="str">
        <f t="shared" si="4"/>
        <v>Opatření 19</v>
      </c>
      <c r="Y19" s="25" t="str">
        <f t="shared" si="4"/>
        <v>Opatření 20</v>
      </c>
      <c r="Z19" s="626" t="s">
        <v>40</v>
      </c>
    </row>
    <row r="20" spans="2:26" ht="15">
      <c r="B20" s="616"/>
      <c r="C20" s="618"/>
      <c r="D20" s="629"/>
      <c r="E20" s="622"/>
      <c r="F20" s="616">
        <f aca="true" t="shared" si="5" ref="F20:Y20">F4</f>
        <v>0</v>
      </c>
      <c r="G20" s="618">
        <f t="shared" si="5"/>
        <v>0</v>
      </c>
      <c r="H20" s="618">
        <f t="shared" si="5"/>
        <v>0</v>
      </c>
      <c r="I20" s="618">
        <f t="shared" si="5"/>
        <v>0</v>
      </c>
      <c r="J20" s="618">
        <f t="shared" si="5"/>
        <v>0</v>
      </c>
      <c r="K20" s="618">
        <f t="shared" si="5"/>
        <v>0</v>
      </c>
      <c r="L20" s="618">
        <f t="shared" si="5"/>
        <v>0</v>
      </c>
      <c r="M20" s="618">
        <f t="shared" si="5"/>
        <v>0</v>
      </c>
      <c r="N20" s="618">
        <f t="shared" si="5"/>
        <v>0</v>
      </c>
      <c r="O20" s="618">
        <f t="shared" si="5"/>
        <v>0</v>
      </c>
      <c r="P20" s="618">
        <f t="shared" si="5"/>
        <v>0</v>
      </c>
      <c r="Q20" s="618">
        <f t="shared" si="5"/>
        <v>0</v>
      </c>
      <c r="R20" s="618">
        <f t="shared" si="5"/>
        <v>0</v>
      </c>
      <c r="S20" s="618">
        <f t="shared" si="5"/>
        <v>0</v>
      </c>
      <c r="T20" s="618">
        <f t="shared" si="5"/>
        <v>0</v>
      </c>
      <c r="U20" s="618">
        <f t="shared" si="5"/>
        <v>0</v>
      </c>
      <c r="V20" s="618">
        <f t="shared" si="5"/>
        <v>0</v>
      </c>
      <c r="W20" s="618">
        <f t="shared" si="5"/>
        <v>0</v>
      </c>
      <c r="X20" s="618">
        <f t="shared" si="5"/>
        <v>0</v>
      </c>
      <c r="Y20" s="618">
        <f t="shared" si="5"/>
        <v>0</v>
      </c>
      <c r="Z20" s="627"/>
    </row>
    <row r="21" spans="2:26" ht="15">
      <c r="B21" s="616"/>
      <c r="C21" s="618"/>
      <c r="D21" s="629"/>
      <c r="E21" s="622"/>
      <c r="F21" s="616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27"/>
    </row>
    <row r="22" spans="2:26" ht="15">
      <c r="B22" s="616"/>
      <c r="C22" s="618"/>
      <c r="D22" s="629"/>
      <c r="E22" s="622"/>
      <c r="F22" s="616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27"/>
    </row>
    <row r="23" spans="2:26" ht="15">
      <c r="B23" s="616"/>
      <c r="C23" s="618"/>
      <c r="D23" s="629"/>
      <c r="E23" s="622"/>
      <c r="F23" s="616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27"/>
    </row>
    <row r="24" spans="2:26" ht="15">
      <c r="B24" s="616"/>
      <c r="C24" s="618"/>
      <c r="D24" s="629"/>
      <c r="E24" s="622"/>
      <c r="F24" s="616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27"/>
    </row>
    <row r="25" spans="2:27" ht="20.25" customHeight="1">
      <c r="B25" s="265">
        <f aca="true" t="shared" si="6" ref="B25:C28">B9</f>
        <v>1</v>
      </c>
      <c r="C25" s="266" t="str">
        <f t="shared" si="6"/>
        <v>ZŠ Masarykova</v>
      </c>
      <c r="D25" s="281">
        <f aca="true" t="shared" si="7" ref="D25">SUM(F25:Z25)</f>
        <v>0</v>
      </c>
      <c r="E25" s="274" t="s">
        <v>38</v>
      </c>
      <c r="F25" s="275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8"/>
      <c r="AA25" s="185" t="s">
        <v>109</v>
      </c>
    </row>
    <row r="26" spans="2:27" ht="20.25" customHeight="1">
      <c r="B26" s="265">
        <f t="shared" si="6"/>
        <v>2</v>
      </c>
      <c r="C26" s="266" t="str">
        <f t="shared" si="6"/>
        <v>MŠ, ZUŠ, ZŠ č.p. 17</v>
      </c>
      <c r="D26" s="281">
        <f aca="true" t="shared" si="8" ref="D26:D27">SUM(F26:Z26)</f>
        <v>0</v>
      </c>
      <c r="E26" s="274" t="s">
        <v>38</v>
      </c>
      <c r="F26" s="275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8"/>
      <c r="AA26" s="185" t="s">
        <v>109</v>
      </c>
    </row>
    <row r="27" spans="2:27" ht="20.25" customHeight="1">
      <c r="B27" s="265">
        <f t="shared" si="6"/>
        <v>3</v>
      </c>
      <c r="C27" s="266" t="str">
        <f t="shared" si="6"/>
        <v>Sportovní hala</v>
      </c>
      <c r="D27" s="281">
        <f t="shared" si="8"/>
        <v>0</v>
      </c>
      <c r="E27" s="274" t="s">
        <v>38</v>
      </c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8"/>
      <c r="AA27" s="185" t="s">
        <v>109</v>
      </c>
    </row>
    <row r="28" spans="2:27" ht="20.25" customHeight="1">
      <c r="B28" s="265">
        <f t="shared" si="6"/>
        <v>4</v>
      </c>
      <c r="C28" s="266" t="str">
        <f t="shared" si="6"/>
        <v>Veřejné osvětlení</v>
      </c>
      <c r="D28" s="281">
        <f aca="true" t="shared" si="9" ref="D28">SUM(F28:Z28)</f>
        <v>0</v>
      </c>
      <c r="E28" s="274" t="s">
        <v>38</v>
      </c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8"/>
      <c r="AA28" s="185" t="s">
        <v>109</v>
      </c>
    </row>
    <row r="29" spans="2:27" ht="20.25" customHeight="1" thickBot="1">
      <c r="B29" s="188" t="s">
        <v>13</v>
      </c>
      <c r="C29" s="270" t="s">
        <v>12</v>
      </c>
      <c r="D29" s="271">
        <f>SUM(D25:D28)</f>
        <v>0</v>
      </c>
      <c r="E29" s="272" t="s">
        <v>13</v>
      </c>
      <c r="F29" s="279">
        <f aca="true" t="shared" si="10" ref="F29:Z29">SUM(F25:F28)</f>
        <v>0</v>
      </c>
      <c r="G29" s="280">
        <f t="shared" si="10"/>
        <v>0</v>
      </c>
      <c r="H29" s="280">
        <f t="shared" si="10"/>
        <v>0</v>
      </c>
      <c r="I29" s="280">
        <f t="shared" si="10"/>
        <v>0</v>
      </c>
      <c r="J29" s="280">
        <f t="shared" si="10"/>
        <v>0</v>
      </c>
      <c r="K29" s="280">
        <f t="shared" si="10"/>
        <v>0</v>
      </c>
      <c r="L29" s="280">
        <f t="shared" si="10"/>
        <v>0</v>
      </c>
      <c r="M29" s="280">
        <f t="shared" si="10"/>
        <v>0</v>
      </c>
      <c r="N29" s="280">
        <f t="shared" si="10"/>
        <v>0</v>
      </c>
      <c r="O29" s="280">
        <f t="shared" si="10"/>
        <v>0</v>
      </c>
      <c r="P29" s="280">
        <f t="shared" si="10"/>
        <v>0</v>
      </c>
      <c r="Q29" s="280">
        <f t="shared" si="10"/>
        <v>0</v>
      </c>
      <c r="R29" s="280">
        <f t="shared" si="10"/>
        <v>0</v>
      </c>
      <c r="S29" s="280">
        <f t="shared" si="10"/>
        <v>0</v>
      </c>
      <c r="T29" s="280">
        <f t="shared" si="10"/>
        <v>0</v>
      </c>
      <c r="U29" s="280">
        <f t="shared" si="10"/>
        <v>0</v>
      </c>
      <c r="V29" s="280">
        <f t="shared" si="10"/>
        <v>0</v>
      </c>
      <c r="W29" s="280">
        <f t="shared" si="10"/>
        <v>0</v>
      </c>
      <c r="X29" s="280">
        <f t="shared" si="10"/>
        <v>0</v>
      </c>
      <c r="Y29" s="280">
        <f t="shared" si="10"/>
        <v>0</v>
      </c>
      <c r="Z29" s="282">
        <f t="shared" si="10"/>
        <v>0</v>
      </c>
      <c r="AA29" s="185" t="s">
        <v>109</v>
      </c>
    </row>
    <row r="30" spans="4:26" ht="15">
      <c r="D30" s="28"/>
      <c r="E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4:26" ht="1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4:26" ht="1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4" spans="2:8" ht="18" customHeight="1" thickBot="1">
      <c r="B34" s="33" t="s">
        <v>41</v>
      </c>
      <c r="C34" s="189"/>
      <c r="D34" s="608" t="s">
        <v>101</v>
      </c>
      <c r="E34" s="609"/>
      <c r="F34" s="609"/>
      <c r="G34" s="609"/>
      <c r="H34" s="610"/>
    </row>
    <row r="35" spans="2:8" ht="15.75" customHeight="1">
      <c r="B35" s="615" t="s">
        <v>15</v>
      </c>
      <c r="C35" s="617" t="s">
        <v>42</v>
      </c>
      <c r="D35" s="628" t="s">
        <v>135</v>
      </c>
      <c r="E35" s="630" t="s">
        <v>13</v>
      </c>
      <c r="F35" s="633" t="s">
        <v>143</v>
      </c>
      <c r="G35" s="606" t="s">
        <v>43</v>
      </c>
      <c r="H35" s="635" t="s">
        <v>44</v>
      </c>
    </row>
    <row r="36" spans="2:8" ht="15.75" customHeight="1">
      <c r="B36" s="616"/>
      <c r="C36" s="618"/>
      <c r="D36" s="629"/>
      <c r="E36" s="631"/>
      <c r="F36" s="634"/>
      <c r="G36" s="607"/>
      <c r="H36" s="636"/>
    </row>
    <row r="37" spans="2:8" ht="18.75" customHeight="1" thickBot="1">
      <c r="B37" s="637"/>
      <c r="C37" s="638"/>
      <c r="D37" s="639"/>
      <c r="E37" s="632"/>
      <c r="F37" s="182" t="s">
        <v>84</v>
      </c>
      <c r="G37" s="182" t="s">
        <v>130</v>
      </c>
      <c r="H37" s="183" t="s">
        <v>48</v>
      </c>
    </row>
    <row r="38" spans="2:14" ht="17.25" customHeight="1">
      <c r="B38" s="283">
        <f aca="true" t="shared" si="11" ref="B38:C41">B25</f>
        <v>1</v>
      </c>
      <c r="C38" s="284" t="str">
        <f t="shared" si="11"/>
        <v>ZŠ Masarykova</v>
      </c>
      <c r="D38" s="285" t="s">
        <v>13</v>
      </c>
      <c r="E38" s="286" t="s">
        <v>100</v>
      </c>
      <c r="F38" s="287"/>
      <c r="G38" s="287"/>
      <c r="H38" s="288"/>
      <c r="K38" s="355">
        <f>F38/'REFERENČNÍ ÚDAJE'!E16</f>
        <v>0</v>
      </c>
      <c r="L38" s="355">
        <f>G38/'REFERENČNÍ ÚDAJE'!I16</f>
        <v>0</v>
      </c>
      <c r="M38" s="355">
        <f>H38/'REFERENČNÍ ÚDAJE'!M16</f>
        <v>0</v>
      </c>
      <c r="N38" s="355"/>
    </row>
    <row r="39" spans="2:14" ht="17.25" customHeight="1">
      <c r="B39" s="265">
        <f t="shared" si="11"/>
        <v>2</v>
      </c>
      <c r="C39" s="266" t="str">
        <f t="shared" si="11"/>
        <v>MŠ, ZUŠ, ZŠ č.p. 17</v>
      </c>
      <c r="D39" s="267" t="s">
        <v>13</v>
      </c>
      <c r="E39" s="181" t="s">
        <v>100</v>
      </c>
      <c r="F39" s="186"/>
      <c r="G39" s="186"/>
      <c r="H39" s="187"/>
      <c r="K39" s="355">
        <f>F39/'REFERENČNÍ ÚDAJE'!E17</f>
        <v>0</v>
      </c>
      <c r="L39" s="355">
        <f>G39/'REFERENČNÍ ÚDAJE'!I17</f>
        <v>0</v>
      </c>
      <c r="M39" s="355">
        <f>H39/'REFERENČNÍ ÚDAJE'!M17</f>
        <v>0</v>
      </c>
      <c r="N39" s="355"/>
    </row>
    <row r="40" spans="2:14" ht="17.25" customHeight="1">
      <c r="B40" s="265">
        <f t="shared" si="11"/>
        <v>3</v>
      </c>
      <c r="C40" s="266" t="str">
        <f t="shared" si="11"/>
        <v>Sportovní hala</v>
      </c>
      <c r="D40" s="267" t="s">
        <v>13</v>
      </c>
      <c r="E40" s="181" t="s">
        <v>100</v>
      </c>
      <c r="F40" s="186"/>
      <c r="G40" s="186"/>
      <c r="H40" s="187"/>
      <c r="K40" s="355">
        <f>F40/'REFERENČNÍ ÚDAJE'!E18</f>
        <v>0</v>
      </c>
      <c r="L40" s="355">
        <f>G40/'REFERENČNÍ ÚDAJE'!I18</f>
        <v>0</v>
      </c>
      <c r="M40" s="355">
        <f>H40/'REFERENČNÍ ÚDAJE'!M18</f>
        <v>0</v>
      </c>
      <c r="N40" s="355"/>
    </row>
    <row r="41" spans="2:14" ht="17.25" customHeight="1" thickBot="1">
      <c r="B41" s="265">
        <f t="shared" si="11"/>
        <v>4</v>
      </c>
      <c r="C41" s="266" t="str">
        <f t="shared" si="11"/>
        <v>Veřejné osvětlení</v>
      </c>
      <c r="D41" s="267" t="s">
        <v>13</v>
      </c>
      <c r="E41" s="181" t="s">
        <v>100</v>
      </c>
      <c r="F41" s="186"/>
      <c r="G41" s="186"/>
      <c r="H41" s="187"/>
      <c r="K41" s="355"/>
      <c r="L41" s="355">
        <f>G41/'REFERENČNÍ ÚDAJE'!I19</f>
        <v>0</v>
      </c>
      <c r="M41" s="355"/>
      <c r="N41" s="355"/>
    </row>
    <row r="42" spans="2:14" ht="17.25" customHeight="1" thickBot="1">
      <c r="B42" s="289" t="s">
        <v>13</v>
      </c>
      <c r="C42" s="290" t="s">
        <v>12</v>
      </c>
      <c r="D42" s="291" t="s">
        <v>13</v>
      </c>
      <c r="E42" s="292" t="s">
        <v>54</v>
      </c>
      <c r="F42" s="293">
        <f>SUM(F38:F41)</f>
        <v>0</v>
      </c>
      <c r="G42" s="293">
        <f>SUM(G38:G41)</f>
        <v>0</v>
      </c>
      <c r="H42" s="294">
        <f>SUM(H38:H41)</f>
        <v>0</v>
      </c>
      <c r="K42" s="355">
        <f>F42/'REFERENČNÍ ÚDAJE'!E20</f>
        <v>0</v>
      </c>
      <c r="L42" s="355">
        <f>G42/'REFERENČNÍ ÚDAJE'!I20</f>
        <v>0</v>
      </c>
      <c r="M42" s="355">
        <f>H42/'REFERENČNÍ ÚDAJE'!M20</f>
        <v>0</v>
      </c>
      <c r="N42" s="355"/>
    </row>
    <row r="43" ht="15">
      <c r="D43" s="62"/>
    </row>
    <row r="44" spans="2:9" ht="18.75" customHeight="1" thickBot="1">
      <c r="B44" s="33" t="s">
        <v>45</v>
      </c>
      <c r="C44" s="189"/>
      <c r="D44" s="608" t="s">
        <v>102</v>
      </c>
      <c r="E44" s="609"/>
      <c r="F44" s="609"/>
      <c r="G44" s="609"/>
      <c r="H44" s="609"/>
      <c r="I44" s="610"/>
    </row>
    <row r="45" spans="2:10" ht="15.75" customHeight="1">
      <c r="B45" s="615" t="s">
        <v>15</v>
      </c>
      <c r="C45" s="617" t="s">
        <v>42</v>
      </c>
      <c r="D45" s="628" t="s">
        <v>134</v>
      </c>
      <c r="E45" s="630" t="s">
        <v>13</v>
      </c>
      <c r="F45" s="633" t="str">
        <f>F35</f>
        <v>Teplo</v>
      </c>
      <c r="G45" s="606" t="str">
        <f>G35</f>
        <v>Elektřina</v>
      </c>
      <c r="H45" s="633" t="str">
        <f>H35</f>
        <v>Voda</v>
      </c>
      <c r="I45" s="640" t="s">
        <v>46</v>
      </c>
      <c r="J45" s="185" t="s">
        <v>109</v>
      </c>
    </row>
    <row r="46" spans="2:9" ht="15.75" customHeight="1">
      <c r="B46" s="616"/>
      <c r="C46" s="618"/>
      <c r="D46" s="629"/>
      <c r="E46" s="631"/>
      <c r="F46" s="634"/>
      <c r="G46" s="607"/>
      <c r="H46" s="634"/>
      <c r="I46" s="641"/>
    </row>
    <row r="47" spans="2:11" ht="18.75" customHeight="1" thickBot="1">
      <c r="B47" s="637"/>
      <c r="C47" s="638"/>
      <c r="D47" s="639"/>
      <c r="E47" s="632"/>
      <c r="F47" s="182" t="s">
        <v>103</v>
      </c>
      <c r="G47" s="182" t="s">
        <v>103</v>
      </c>
      <c r="H47" s="182" t="s">
        <v>103</v>
      </c>
      <c r="I47" s="183" t="s">
        <v>103</v>
      </c>
      <c r="K47" s="31" t="s">
        <v>47</v>
      </c>
    </row>
    <row r="48" spans="2:12" ht="17.25" customHeight="1">
      <c r="B48" s="283">
        <f aca="true" t="shared" si="12" ref="B48:C51">B38</f>
        <v>1</v>
      </c>
      <c r="C48" s="284" t="str">
        <f t="shared" si="12"/>
        <v>ZŠ Masarykova</v>
      </c>
      <c r="D48" s="295">
        <f>SUM(F48:I48)</f>
        <v>0</v>
      </c>
      <c r="E48" s="286" t="s">
        <v>100</v>
      </c>
      <c r="F48" s="287"/>
      <c r="G48" s="287"/>
      <c r="H48" s="287"/>
      <c r="I48" s="288"/>
      <c r="K48" s="32" t="str">
        <f>IF(D48=D25,"OK","!")</f>
        <v>OK</v>
      </c>
      <c r="L48" s="19" t="str">
        <f>CONCATENATE("(Buňka ",ADDRESS(ROW(D48),COLUMN(D48),4)," se musí rovnat buňce ",ADDRESS(ROW(D25),COLUMN(D25),4),")")</f>
        <v>(Buňka D48 se musí rovnat buňce D25)</v>
      </c>
    </row>
    <row r="49" spans="2:12" ht="17.25" customHeight="1">
      <c r="B49" s="265">
        <f t="shared" si="12"/>
        <v>2</v>
      </c>
      <c r="C49" s="266" t="str">
        <f t="shared" si="12"/>
        <v>MŠ, ZUŠ, ZŠ č.p. 17</v>
      </c>
      <c r="D49" s="184">
        <f>SUM(F49:I49)</f>
        <v>0</v>
      </c>
      <c r="E49" s="181" t="s">
        <v>100</v>
      </c>
      <c r="F49" s="186"/>
      <c r="G49" s="186"/>
      <c r="H49" s="186"/>
      <c r="I49" s="187"/>
      <c r="K49" s="32" t="str">
        <f>IF(D49=D26,"OK","!")</f>
        <v>OK</v>
      </c>
      <c r="L49" s="19" t="str">
        <f>CONCATENATE("(Buňka ",ADDRESS(ROW(D49),COLUMN(D49),4)," se musí rovnat buňce ",ADDRESS(ROW(D26),COLUMN(D26),4),")")</f>
        <v>(Buňka D49 se musí rovnat buňce D26)</v>
      </c>
    </row>
    <row r="50" spans="2:12" ht="17.25" customHeight="1">
      <c r="B50" s="265">
        <f t="shared" si="12"/>
        <v>3</v>
      </c>
      <c r="C50" s="266" t="str">
        <f t="shared" si="12"/>
        <v>Sportovní hala</v>
      </c>
      <c r="D50" s="184">
        <f>SUM(F50:I50)</f>
        <v>0</v>
      </c>
      <c r="E50" s="181" t="s">
        <v>100</v>
      </c>
      <c r="F50" s="186"/>
      <c r="G50" s="186"/>
      <c r="H50" s="186"/>
      <c r="I50" s="187"/>
      <c r="K50" s="32" t="str">
        <f>IF(D50=D27,"OK","!")</f>
        <v>OK</v>
      </c>
      <c r="L50" s="19" t="str">
        <f>CONCATENATE("(Buňka ",ADDRESS(ROW(D50),COLUMN(D50),4)," se musí rovnat buňce ",ADDRESS(ROW(D27),COLUMN(D27),4),")")</f>
        <v>(Buňka D50 se musí rovnat buňce D27)</v>
      </c>
    </row>
    <row r="51" spans="2:12" ht="17.25" customHeight="1" thickBot="1">
      <c r="B51" s="265">
        <f t="shared" si="12"/>
        <v>4</v>
      </c>
      <c r="C51" s="266" t="str">
        <f t="shared" si="12"/>
        <v>Veřejné osvětlení</v>
      </c>
      <c r="D51" s="184">
        <f>SUM(F51:I51)</f>
        <v>0</v>
      </c>
      <c r="E51" s="181" t="s">
        <v>100</v>
      </c>
      <c r="F51" s="186"/>
      <c r="G51" s="186"/>
      <c r="H51" s="186"/>
      <c r="I51" s="187"/>
      <c r="K51" s="32" t="str">
        <f>IF(D51=D28,"OK","!")</f>
        <v>OK</v>
      </c>
      <c r="L51" s="19" t="str">
        <f>CONCATENATE("(Buňka ",ADDRESS(ROW(D51),COLUMN(D51),4)," se musí rovnat buňce ",ADDRESS(ROW(D28),COLUMN(D28),4),")")</f>
        <v>(Buňka D51 se musí rovnat buňce D28)</v>
      </c>
    </row>
    <row r="52" spans="2:14" ht="17.25" customHeight="1" thickBot="1">
      <c r="B52" s="289" t="s">
        <v>13</v>
      </c>
      <c r="C52" s="290" t="s">
        <v>12</v>
      </c>
      <c r="D52" s="296">
        <f>SUM(F52:I52)</f>
        <v>0</v>
      </c>
      <c r="E52" s="292" t="s">
        <v>54</v>
      </c>
      <c r="F52" s="293">
        <f aca="true" t="shared" si="13" ref="F52">SUM(F48:F51)</f>
        <v>0</v>
      </c>
      <c r="G52" s="293">
        <f>SUM(G48:G51)</f>
        <v>0</v>
      </c>
      <c r="H52" s="293">
        <f>SUM(H48:H51)</f>
        <v>0</v>
      </c>
      <c r="I52" s="294">
        <f>SUM(I48:I51)</f>
        <v>0</v>
      </c>
      <c r="M52" s="32"/>
      <c r="N52" s="19"/>
    </row>
    <row r="53" ht="15">
      <c r="D53" s="62"/>
    </row>
  </sheetData>
  <mergeCells count="68">
    <mergeCell ref="E45:E47"/>
    <mergeCell ref="F45:F46"/>
    <mergeCell ref="I45:I46"/>
    <mergeCell ref="H45:H46"/>
    <mergeCell ref="B35:B37"/>
    <mergeCell ref="C35:C37"/>
    <mergeCell ref="D35:D37"/>
    <mergeCell ref="B45:B47"/>
    <mergeCell ref="C45:C47"/>
    <mergeCell ref="D45:D47"/>
    <mergeCell ref="S20:S24"/>
    <mergeCell ref="T20:T24"/>
    <mergeCell ref="U20:U24"/>
    <mergeCell ref="P20:P24"/>
    <mergeCell ref="E35:E37"/>
    <mergeCell ref="G35:G36"/>
    <mergeCell ref="F35:F36"/>
    <mergeCell ref="H35:H36"/>
    <mergeCell ref="B19:B24"/>
    <mergeCell ref="C19:C24"/>
    <mergeCell ref="D19:D24"/>
    <mergeCell ref="E19:E24"/>
    <mergeCell ref="R20:R24"/>
    <mergeCell ref="D18:Z18"/>
    <mergeCell ref="Q4:Q8"/>
    <mergeCell ref="R4:R8"/>
    <mergeCell ref="S4:S8"/>
    <mergeCell ref="T4:T8"/>
    <mergeCell ref="U4:U8"/>
    <mergeCell ref="V4:V8"/>
    <mergeCell ref="K4:K8"/>
    <mergeCell ref="L4:L8"/>
    <mergeCell ref="M4:M8"/>
    <mergeCell ref="N4:N8"/>
    <mergeCell ref="O4:O8"/>
    <mergeCell ref="P4:P8"/>
    <mergeCell ref="Z19:Z24"/>
    <mergeCell ref="Q20:Q24"/>
    <mergeCell ref="F20:F24"/>
    <mergeCell ref="G20:G24"/>
    <mergeCell ref="H20:H24"/>
    <mergeCell ref="I20:I24"/>
    <mergeCell ref="J20:J24"/>
    <mergeCell ref="K20:K24"/>
    <mergeCell ref="L20:L24"/>
    <mergeCell ref="M20:M24"/>
    <mergeCell ref="N20:N24"/>
    <mergeCell ref="O20:O24"/>
    <mergeCell ref="X20:X24"/>
    <mergeCell ref="Y20:Y24"/>
    <mergeCell ref="V20:V24"/>
    <mergeCell ref="W20:W24"/>
    <mergeCell ref="G45:G46"/>
    <mergeCell ref="D34:H34"/>
    <mergeCell ref="D44:I44"/>
    <mergeCell ref="D2:Y2"/>
    <mergeCell ref="B3:B8"/>
    <mergeCell ref="C3:C8"/>
    <mergeCell ref="D3:D8"/>
    <mergeCell ref="E3:E8"/>
    <mergeCell ref="F4:F8"/>
    <mergeCell ref="G4:G8"/>
    <mergeCell ref="H4:H8"/>
    <mergeCell ref="I4:I8"/>
    <mergeCell ref="J4:J8"/>
    <mergeCell ref="W4:W8"/>
    <mergeCell ref="X4:X8"/>
    <mergeCell ref="Y4:Y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  <pageSetUpPr fitToPage="1"/>
  </sheetPr>
  <dimension ref="A2:Y52"/>
  <sheetViews>
    <sheetView showGridLines="0" zoomScale="70" zoomScaleNormal="70" workbookViewId="0" topLeftCell="A1">
      <selection activeCell="V27" sqref="V27"/>
    </sheetView>
  </sheetViews>
  <sheetFormatPr defaultColWidth="9.140625" defaultRowHeight="15"/>
  <cols>
    <col min="1" max="1" width="2.140625" style="38" customWidth="1"/>
    <col min="2" max="2" width="29.57421875" style="38" customWidth="1"/>
    <col min="3" max="3" width="7.140625" style="38" customWidth="1"/>
    <col min="4" max="4" width="10.421875" style="38" customWidth="1"/>
    <col min="5" max="17" width="10.140625" style="38" customWidth="1"/>
    <col min="18" max="18" width="11.28125" style="38" customWidth="1"/>
    <col min="19" max="19" width="11.421875" style="38" customWidth="1"/>
    <col min="20" max="20" width="9.8515625" style="38" bestFit="1" customWidth="1"/>
    <col min="21" max="21" width="11.7109375" style="38" customWidth="1"/>
    <col min="22" max="260" width="9.140625" style="38" customWidth="1"/>
    <col min="261" max="261" width="31.140625" style="38" customWidth="1"/>
    <col min="262" max="262" width="9.140625" style="38" customWidth="1"/>
    <col min="263" max="263" width="11.28125" style="38" customWidth="1"/>
    <col min="264" max="516" width="9.140625" style="38" customWidth="1"/>
    <col min="517" max="517" width="31.140625" style="38" customWidth="1"/>
    <col min="518" max="518" width="9.140625" style="38" customWidth="1"/>
    <col min="519" max="519" width="11.28125" style="38" customWidth="1"/>
    <col min="520" max="772" width="9.140625" style="38" customWidth="1"/>
    <col min="773" max="773" width="31.140625" style="38" customWidth="1"/>
    <col min="774" max="774" width="9.140625" style="38" customWidth="1"/>
    <col min="775" max="775" width="11.28125" style="38" customWidth="1"/>
    <col min="776" max="1028" width="9.140625" style="38" customWidth="1"/>
    <col min="1029" max="1029" width="31.140625" style="38" customWidth="1"/>
    <col min="1030" max="1030" width="9.140625" style="38" customWidth="1"/>
    <col min="1031" max="1031" width="11.28125" style="38" customWidth="1"/>
    <col min="1032" max="1284" width="9.140625" style="38" customWidth="1"/>
    <col min="1285" max="1285" width="31.140625" style="38" customWidth="1"/>
    <col min="1286" max="1286" width="9.140625" style="38" customWidth="1"/>
    <col min="1287" max="1287" width="11.28125" style="38" customWidth="1"/>
    <col min="1288" max="1540" width="9.140625" style="38" customWidth="1"/>
    <col min="1541" max="1541" width="31.140625" style="38" customWidth="1"/>
    <col min="1542" max="1542" width="9.140625" style="38" customWidth="1"/>
    <col min="1543" max="1543" width="11.28125" style="38" customWidth="1"/>
    <col min="1544" max="1796" width="9.140625" style="38" customWidth="1"/>
    <col min="1797" max="1797" width="31.140625" style="38" customWidth="1"/>
    <col min="1798" max="1798" width="9.140625" style="38" customWidth="1"/>
    <col min="1799" max="1799" width="11.28125" style="38" customWidth="1"/>
    <col min="1800" max="2052" width="9.140625" style="38" customWidth="1"/>
    <col min="2053" max="2053" width="31.140625" style="38" customWidth="1"/>
    <col min="2054" max="2054" width="9.140625" style="38" customWidth="1"/>
    <col min="2055" max="2055" width="11.28125" style="38" customWidth="1"/>
    <col min="2056" max="2308" width="9.140625" style="38" customWidth="1"/>
    <col min="2309" max="2309" width="31.140625" style="38" customWidth="1"/>
    <col min="2310" max="2310" width="9.140625" style="38" customWidth="1"/>
    <col min="2311" max="2311" width="11.28125" style="38" customWidth="1"/>
    <col min="2312" max="2564" width="9.140625" style="38" customWidth="1"/>
    <col min="2565" max="2565" width="31.140625" style="38" customWidth="1"/>
    <col min="2566" max="2566" width="9.140625" style="38" customWidth="1"/>
    <col min="2567" max="2567" width="11.28125" style="38" customWidth="1"/>
    <col min="2568" max="2820" width="9.140625" style="38" customWidth="1"/>
    <col min="2821" max="2821" width="31.140625" style="38" customWidth="1"/>
    <col min="2822" max="2822" width="9.140625" style="38" customWidth="1"/>
    <col min="2823" max="2823" width="11.28125" style="38" customWidth="1"/>
    <col min="2824" max="3076" width="9.140625" style="38" customWidth="1"/>
    <col min="3077" max="3077" width="31.140625" style="38" customWidth="1"/>
    <col min="3078" max="3078" width="9.140625" style="38" customWidth="1"/>
    <col min="3079" max="3079" width="11.28125" style="38" customWidth="1"/>
    <col min="3080" max="3332" width="9.140625" style="38" customWidth="1"/>
    <col min="3333" max="3333" width="31.140625" style="38" customWidth="1"/>
    <col min="3334" max="3334" width="9.140625" style="38" customWidth="1"/>
    <col min="3335" max="3335" width="11.28125" style="38" customWidth="1"/>
    <col min="3336" max="3588" width="9.140625" style="38" customWidth="1"/>
    <col min="3589" max="3589" width="31.140625" style="38" customWidth="1"/>
    <col min="3590" max="3590" width="9.140625" style="38" customWidth="1"/>
    <col min="3591" max="3591" width="11.28125" style="38" customWidth="1"/>
    <col min="3592" max="3844" width="9.140625" style="38" customWidth="1"/>
    <col min="3845" max="3845" width="31.140625" style="38" customWidth="1"/>
    <col min="3846" max="3846" width="9.140625" style="38" customWidth="1"/>
    <col min="3847" max="3847" width="11.28125" style="38" customWidth="1"/>
    <col min="3848" max="4100" width="9.140625" style="38" customWidth="1"/>
    <col min="4101" max="4101" width="31.140625" style="38" customWidth="1"/>
    <col min="4102" max="4102" width="9.140625" style="38" customWidth="1"/>
    <col min="4103" max="4103" width="11.28125" style="38" customWidth="1"/>
    <col min="4104" max="4356" width="9.140625" style="38" customWidth="1"/>
    <col min="4357" max="4357" width="31.140625" style="38" customWidth="1"/>
    <col min="4358" max="4358" width="9.140625" style="38" customWidth="1"/>
    <col min="4359" max="4359" width="11.28125" style="38" customWidth="1"/>
    <col min="4360" max="4612" width="9.140625" style="38" customWidth="1"/>
    <col min="4613" max="4613" width="31.140625" style="38" customWidth="1"/>
    <col min="4614" max="4614" width="9.140625" style="38" customWidth="1"/>
    <col min="4615" max="4615" width="11.28125" style="38" customWidth="1"/>
    <col min="4616" max="4868" width="9.140625" style="38" customWidth="1"/>
    <col min="4869" max="4869" width="31.140625" style="38" customWidth="1"/>
    <col min="4870" max="4870" width="9.140625" style="38" customWidth="1"/>
    <col min="4871" max="4871" width="11.28125" style="38" customWidth="1"/>
    <col min="4872" max="5124" width="9.140625" style="38" customWidth="1"/>
    <col min="5125" max="5125" width="31.140625" style="38" customWidth="1"/>
    <col min="5126" max="5126" width="9.140625" style="38" customWidth="1"/>
    <col min="5127" max="5127" width="11.28125" style="38" customWidth="1"/>
    <col min="5128" max="5380" width="9.140625" style="38" customWidth="1"/>
    <col min="5381" max="5381" width="31.140625" style="38" customWidth="1"/>
    <col min="5382" max="5382" width="9.140625" style="38" customWidth="1"/>
    <col min="5383" max="5383" width="11.28125" style="38" customWidth="1"/>
    <col min="5384" max="5636" width="9.140625" style="38" customWidth="1"/>
    <col min="5637" max="5637" width="31.140625" style="38" customWidth="1"/>
    <col min="5638" max="5638" width="9.140625" style="38" customWidth="1"/>
    <col min="5639" max="5639" width="11.28125" style="38" customWidth="1"/>
    <col min="5640" max="5892" width="9.140625" style="38" customWidth="1"/>
    <col min="5893" max="5893" width="31.140625" style="38" customWidth="1"/>
    <col min="5894" max="5894" width="9.140625" style="38" customWidth="1"/>
    <col min="5895" max="5895" width="11.28125" style="38" customWidth="1"/>
    <col min="5896" max="6148" width="9.140625" style="38" customWidth="1"/>
    <col min="6149" max="6149" width="31.140625" style="38" customWidth="1"/>
    <col min="6150" max="6150" width="9.140625" style="38" customWidth="1"/>
    <col min="6151" max="6151" width="11.28125" style="38" customWidth="1"/>
    <col min="6152" max="6404" width="9.140625" style="38" customWidth="1"/>
    <col min="6405" max="6405" width="31.140625" style="38" customWidth="1"/>
    <col min="6406" max="6406" width="9.140625" style="38" customWidth="1"/>
    <col min="6407" max="6407" width="11.28125" style="38" customWidth="1"/>
    <col min="6408" max="6660" width="9.140625" style="38" customWidth="1"/>
    <col min="6661" max="6661" width="31.140625" style="38" customWidth="1"/>
    <col min="6662" max="6662" width="9.140625" style="38" customWidth="1"/>
    <col min="6663" max="6663" width="11.28125" style="38" customWidth="1"/>
    <col min="6664" max="6916" width="9.140625" style="38" customWidth="1"/>
    <col min="6917" max="6917" width="31.140625" style="38" customWidth="1"/>
    <col min="6918" max="6918" width="9.140625" style="38" customWidth="1"/>
    <col min="6919" max="6919" width="11.28125" style="38" customWidth="1"/>
    <col min="6920" max="7172" width="9.140625" style="38" customWidth="1"/>
    <col min="7173" max="7173" width="31.140625" style="38" customWidth="1"/>
    <col min="7174" max="7174" width="9.140625" style="38" customWidth="1"/>
    <col min="7175" max="7175" width="11.28125" style="38" customWidth="1"/>
    <col min="7176" max="7428" width="9.140625" style="38" customWidth="1"/>
    <col min="7429" max="7429" width="31.140625" style="38" customWidth="1"/>
    <col min="7430" max="7430" width="9.140625" style="38" customWidth="1"/>
    <col min="7431" max="7431" width="11.28125" style="38" customWidth="1"/>
    <col min="7432" max="7684" width="9.140625" style="38" customWidth="1"/>
    <col min="7685" max="7685" width="31.140625" style="38" customWidth="1"/>
    <col min="7686" max="7686" width="9.140625" style="38" customWidth="1"/>
    <col min="7687" max="7687" width="11.28125" style="38" customWidth="1"/>
    <col min="7688" max="7940" width="9.140625" style="38" customWidth="1"/>
    <col min="7941" max="7941" width="31.140625" style="38" customWidth="1"/>
    <col min="7942" max="7942" width="9.140625" style="38" customWidth="1"/>
    <col min="7943" max="7943" width="11.28125" style="38" customWidth="1"/>
    <col min="7944" max="8196" width="9.140625" style="38" customWidth="1"/>
    <col min="8197" max="8197" width="31.140625" style="38" customWidth="1"/>
    <col min="8198" max="8198" width="9.140625" style="38" customWidth="1"/>
    <col min="8199" max="8199" width="11.28125" style="38" customWidth="1"/>
    <col min="8200" max="8452" width="9.140625" style="38" customWidth="1"/>
    <col min="8453" max="8453" width="31.140625" style="38" customWidth="1"/>
    <col min="8454" max="8454" width="9.140625" style="38" customWidth="1"/>
    <col min="8455" max="8455" width="11.28125" style="38" customWidth="1"/>
    <col min="8456" max="8708" width="9.140625" style="38" customWidth="1"/>
    <col min="8709" max="8709" width="31.140625" style="38" customWidth="1"/>
    <col min="8710" max="8710" width="9.140625" style="38" customWidth="1"/>
    <col min="8711" max="8711" width="11.28125" style="38" customWidth="1"/>
    <col min="8712" max="8964" width="9.140625" style="38" customWidth="1"/>
    <col min="8965" max="8965" width="31.140625" style="38" customWidth="1"/>
    <col min="8966" max="8966" width="9.140625" style="38" customWidth="1"/>
    <col min="8967" max="8967" width="11.28125" style="38" customWidth="1"/>
    <col min="8968" max="9220" width="9.140625" style="38" customWidth="1"/>
    <col min="9221" max="9221" width="31.140625" style="38" customWidth="1"/>
    <col min="9222" max="9222" width="9.140625" style="38" customWidth="1"/>
    <col min="9223" max="9223" width="11.28125" style="38" customWidth="1"/>
    <col min="9224" max="9476" width="9.140625" style="38" customWidth="1"/>
    <col min="9477" max="9477" width="31.140625" style="38" customWidth="1"/>
    <col min="9478" max="9478" width="9.140625" style="38" customWidth="1"/>
    <col min="9479" max="9479" width="11.28125" style="38" customWidth="1"/>
    <col min="9480" max="9732" width="9.140625" style="38" customWidth="1"/>
    <col min="9733" max="9733" width="31.140625" style="38" customWidth="1"/>
    <col min="9734" max="9734" width="9.140625" style="38" customWidth="1"/>
    <col min="9735" max="9735" width="11.28125" style="38" customWidth="1"/>
    <col min="9736" max="9988" width="9.140625" style="38" customWidth="1"/>
    <col min="9989" max="9989" width="31.140625" style="38" customWidth="1"/>
    <col min="9990" max="9990" width="9.140625" style="38" customWidth="1"/>
    <col min="9991" max="9991" width="11.28125" style="38" customWidth="1"/>
    <col min="9992" max="10244" width="9.140625" style="38" customWidth="1"/>
    <col min="10245" max="10245" width="31.140625" style="38" customWidth="1"/>
    <col min="10246" max="10246" width="9.140625" style="38" customWidth="1"/>
    <col min="10247" max="10247" width="11.28125" style="38" customWidth="1"/>
    <col min="10248" max="10500" width="9.140625" style="38" customWidth="1"/>
    <col min="10501" max="10501" width="31.140625" style="38" customWidth="1"/>
    <col min="10502" max="10502" width="9.140625" style="38" customWidth="1"/>
    <col min="10503" max="10503" width="11.28125" style="38" customWidth="1"/>
    <col min="10504" max="10756" width="9.140625" style="38" customWidth="1"/>
    <col min="10757" max="10757" width="31.140625" style="38" customWidth="1"/>
    <col min="10758" max="10758" width="9.140625" style="38" customWidth="1"/>
    <col min="10759" max="10759" width="11.28125" style="38" customWidth="1"/>
    <col min="10760" max="11012" width="9.140625" style="38" customWidth="1"/>
    <col min="11013" max="11013" width="31.140625" style="38" customWidth="1"/>
    <col min="11014" max="11014" width="9.140625" style="38" customWidth="1"/>
    <col min="11015" max="11015" width="11.28125" style="38" customWidth="1"/>
    <col min="11016" max="11268" width="9.140625" style="38" customWidth="1"/>
    <col min="11269" max="11269" width="31.140625" style="38" customWidth="1"/>
    <col min="11270" max="11270" width="9.140625" style="38" customWidth="1"/>
    <col min="11271" max="11271" width="11.28125" style="38" customWidth="1"/>
    <col min="11272" max="11524" width="9.140625" style="38" customWidth="1"/>
    <col min="11525" max="11525" width="31.140625" style="38" customWidth="1"/>
    <col min="11526" max="11526" width="9.140625" style="38" customWidth="1"/>
    <col min="11527" max="11527" width="11.28125" style="38" customWidth="1"/>
    <col min="11528" max="11780" width="9.140625" style="38" customWidth="1"/>
    <col min="11781" max="11781" width="31.140625" style="38" customWidth="1"/>
    <col min="11782" max="11782" width="9.140625" style="38" customWidth="1"/>
    <col min="11783" max="11783" width="11.28125" style="38" customWidth="1"/>
    <col min="11784" max="12036" width="9.140625" style="38" customWidth="1"/>
    <col min="12037" max="12037" width="31.140625" style="38" customWidth="1"/>
    <col min="12038" max="12038" width="9.140625" style="38" customWidth="1"/>
    <col min="12039" max="12039" width="11.28125" style="38" customWidth="1"/>
    <col min="12040" max="12292" width="9.140625" style="38" customWidth="1"/>
    <col min="12293" max="12293" width="31.140625" style="38" customWidth="1"/>
    <col min="12294" max="12294" width="9.140625" style="38" customWidth="1"/>
    <col min="12295" max="12295" width="11.28125" style="38" customWidth="1"/>
    <col min="12296" max="12548" width="9.140625" style="38" customWidth="1"/>
    <col min="12549" max="12549" width="31.140625" style="38" customWidth="1"/>
    <col min="12550" max="12550" width="9.140625" style="38" customWidth="1"/>
    <col min="12551" max="12551" width="11.28125" style="38" customWidth="1"/>
    <col min="12552" max="12804" width="9.140625" style="38" customWidth="1"/>
    <col min="12805" max="12805" width="31.140625" style="38" customWidth="1"/>
    <col min="12806" max="12806" width="9.140625" style="38" customWidth="1"/>
    <col min="12807" max="12807" width="11.28125" style="38" customWidth="1"/>
    <col min="12808" max="13060" width="9.140625" style="38" customWidth="1"/>
    <col min="13061" max="13061" width="31.140625" style="38" customWidth="1"/>
    <col min="13062" max="13062" width="9.140625" style="38" customWidth="1"/>
    <col min="13063" max="13063" width="11.28125" style="38" customWidth="1"/>
    <col min="13064" max="13316" width="9.140625" style="38" customWidth="1"/>
    <col min="13317" max="13317" width="31.140625" style="38" customWidth="1"/>
    <col min="13318" max="13318" width="9.140625" style="38" customWidth="1"/>
    <col min="13319" max="13319" width="11.28125" style="38" customWidth="1"/>
    <col min="13320" max="13572" width="9.140625" style="38" customWidth="1"/>
    <col min="13573" max="13573" width="31.140625" style="38" customWidth="1"/>
    <col min="13574" max="13574" width="9.140625" style="38" customWidth="1"/>
    <col min="13575" max="13575" width="11.28125" style="38" customWidth="1"/>
    <col min="13576" max="13828" width="9.140625" style="38" customWidth="1"/>
    <col min="13829" max="13829" width="31.140625" style="38" customWidth="1"/>
    <col min="13830" max="13830" width="9.140625" style="38" customWidth="1"/>
    <col min="13831" max="13831" width="11.28125" style="38" customWidth="1"/>
    <col min="13832" max="14084" width="9.140625" style="38" customWidth="1"/>
    <col min="14085" max="14085" width="31.140625" style="38" customWidth="1"/>
    <col min="14086" max="14086" width="9.140625" style="38" customWidth="1"/>
    <col min="14087" max="14087" width="11.28125" style="38" customWidth="1"/>
    <col min="14088" max="14340" width="9.140625" style="38" customWidth="1"/>
    <col min="14341" max="14341" width="31.140625" style="38" customWidth="1"/>
    <col min="14342" max="14342" width="9.140625" style="38" customWidth="1"/>
    <col min="14343" max="14343" width="11.28125" style="38" customWidth="1"/>
    <col min="14344" max="14596" width="9.140625" style="38" customWidth="1"/>
    <col min="14597" max="14597" width="31.140625" style="38" customWidth="1"/>
    <col min="14598" max="14598" width="9.140625" style="38" customWidth="1"/>
    <col min="14599" max="14599" width="11.28125" style="38" customWidth="1"/>
    <col min="14600" max="14852" width="9.140625" style="38" customWidth="1"/>
    <col min="14853" max="14853" width="31.140625" style="38" customWidth="1"/>
    <col min="14854" max="14854" width="9.140625" style="38" customWidth="1"/>
    <col min="14855" max="14855" width="11.28125" style="38" customWidth="1"/>
    <col min="14856" max="15108" width="9.140625" style="38" customWidth="1"/>
    <col min="15109" max="15109" width="31.140625" style="38" customWidth="1"/>
    <col min="15110" max="15110" width="9.140625" style="38" customWidth="1"/>
    <col min="15111" max="15111" width="11.28125" style="38" customWidth="1"/>
    <col min="15112" max="15364" width="9.140625" style="38" customWidth="1"/>
    <col min="15365" max="15365" width="31.140625" style="38" customWidth="1"/>
    <col min="15366" max="15366" width="9.140625" style="38" customWidth="1"/>
    <col min="15367" max="15367" width="11.28125" style="38" customWidth="1"/>
    <col min="15368" max="15620" width="9.140625" style="38" customWidth="1"/>
    <col min="15621" max="15621" width="31.140625" style="38" customWidth="1"/>
    <col min="15622" max="15622" width="9.140625" style="38" customWidth="1"/>
    <col min="15623" max="15623" width="11.28125" style="38" customWidth="1"/>
    <col min="15624" max="15876" width="9.140625" style="38" customWidth="1"/>
    <col min="15877" max="15877" width="31.140625" style="38" customWidth="1"/>
    <col min="15878" max="15878" width="9.140625" style="38" customWidth="1"/>
    <col min="15879" max="15879" width="11.28125" style="38" customWidth="1"/>
    <col min="15880" max="16132" width="9.140625" style="38" customWidth="1"/>
    <col min="16133" max="16133" width="31.140625" style="38" customWidth="1"/>
    <col min="16134" max="16134" width="9.140625" style="38" customWidth="1"/>
    <col min="16135" max="16135" width="11.28125" style="38" customWidth="1"/>
    <col min="16136" max="16384" width="9.140625" style="38" customWidth="1"/>
  </cols>
  <sheetData>
    <row r="2" spans="2:18" ht="15">
      <c r="B2" s="34" t="s">
        <v>49</v>
      </c>
      <c r="C2" s="192">
        <f>Q2</f>
        <v>12</v>
      </c>
      <c r="D2" s="35"/>
      <c r="E2" s="36"/>
      <c r="F2" s="36">
        <v>1</v>
      </c>
      <c r="G2" s="37">
        <v>2</v>
      </c>
      <c r="H2" s="36">
        <v>3</v>
      </c>
      <c r="I2" s="37">
        <v>4</v>
      </c>
      <c r="J2" s="36">
        <v>5</v>
      </c>
      <c r="K2" s="37">
        <v>6</v>
      </c>
      <c r="L2" s="36">
        <v>7</v>
      </c>
      <c r="M2" s="37">
        <v>8</v>
      </c>
      <c r="N2" s="36">
        <v>9</v>
      </c>
      <c r="O2" s="36">
        <v>10</v>
      </c>
      <c r="P2" s="36">
        <v>11</v>
      </c>
      <c r="Q2" s="36">
        <v>12</v>
      </c>
      <c r="R2" s="642" t="s">
        <v>50</v>
      </c>
    </row>
    <row r="3" spans="2:18" ht="27" customHeight="1" thickBot="1">
      <c r="B3" s="39"/>
      <c r="C3" s="40" t="s">
        <v>51</v>
      </c>
      <c r="D3" s="190" t="s">
        <v>104</v>
      </c>
      <c r="E3" s="41">
        <v>2021</v>
      </c>
      <c r="F3" s="41">
        <v>2022</v>
      </c>
      <c r="G3" s="41">
        <f aca="true" t="shared" si="0" ref="G3:N3">F3+1</f>
        <v>2023</v>
      </c>
      <c r="H3" s="41">
        <f t="shared" si="0"/>
        <v>2024</v>
      </c>
      <c r="I3" s="41">
        <f t="shared" si="0"/>
        <v>2025</v>
      </c>
      <c r="J3" s="41">
        <f t="shared" si="0"/>
        <v>2026</v>
      </c>
      <c r="K3" s="41">
        <f t="shared" si="0"/>
        <v>2027</v>
      </c>
      <c r="L3" s="41">
        <f t="shared" si="0"/>
        <v>2028</v>
      </c>
      <c r="M3" s="41">
        <f t="shared" si="0"/>
        <v>2029</v>
      </c>
      <c r="N3" s="41">
        <f t="shared" si="0"/>
        <v>2030</v>
      </c>
      <c r="O3" s="41">
        <f aca="true" t="shared" si="1" ref="O3">N3+1</f>
        <v>2031</v>
      </c>
      <c r="P3" s="41">
        <f aca="true" t="shared" si="2" ref="P3:Q3">O3+1</f>
        <v>2032</v>
      </c>
      <c r="Q3" s="41">
        <f t="shared" si="2"/>
        <v>2033</v>
      </c>
      <c r="R3" s="642"/>
    </row>
    <row r="4" spans="2:17" ht="16.5" thickBot="1">
      <c r="B4" s="643" t="s">
        <v>140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5"/>
    </row>
    <row r="5" spans="2:18" ht="15">
      <c r="B5" s="45" t="s">
        <v>136</v>
      </c>
      <c r="C5" s="46">
        <v>1</v>
      </c>
      <c r="D5" s="42">
        <f>'REFERENČNÍ ÚDAJE'!E20</f>
        <v>2874.5299999999997</v>
      </c>
      <c r="E5" s="43">
        <f aca="true" t="shared" si="3" ref="E5:E11">D5</f>
        <v>2874.5299999999997</v>
      </c>
      <c r="F5" s="43">
        <f aca="true" t="shared" si="4" ref="F5:Q11">$D5</f>
        <v>2874.5299999999997</v>
      </c>
      <c r="G5" s="43">
        <f t="shared" si="4"/>
        <v>2874.5299999999997</v>
      </c>
      <c r="H5" s="43">
        <f t="shared" si="4"/>
        <v>2874.5299999999997</v>
      </c>
      <c r="I5" s="43">
        <f t="shared" si="4"/>
        <v>2874.5299999999997</v>
      </c>
      <c r="J5" s="43">
        <f t="shared" si="4"/>
        <v>2874.5299999999997</v>
      </c>
      <c r="K5" s="43">
        <f t="shared" si="4"/>
        <v>2874.5299999999997</v>
      </c>
      <c r="L5" s="43">
        <f t="shared" si="4"/>
        <v>2874.5299999999997</v>
      </c>
      <c r="M5" s="43">
        <f t="shared" si="4"/>
        <v>2874.5299999999997</v>
      </c>
      <c r="N5" s="43">
        <f t="shared" si="4"/>
        <v>2874.5299999999997</v>
      </c>
      <c r="O5" s="43">
        <f t="shared" si="4"/>
        <v>2874.5299999999997</v>
      </c>
      <c r="P5" s="43">
        <f t="shared" si="4"/>
        <v>2874.5299999999997</v>
      </c>
      <c r="Q5" s="44">
        <f t="shared" si="4"/>
        <v>2874.5299999999997</v>
      </c>
      <c r="R5" s="28">
        <f aca="true" t="shared" si="5" ref="R5:R12">SUM(F5:Q5)</f>
        <v>34494.35999999999</v>
      </c>
    </row>
    <row r="6" spans="2:18" ht="15">
      <c r="B6" s="45" t="s">
        <v>137</v>
      </c>
      <c r="C6" s="46">
        <f>C5+1</f>
        <v>2</v>
      </c>
      <c r="D6" s="42">
        <f>'REFERENČNÍ ÚDAJE'!I20</f>
        <v>250.65743333333336</v>
      </c>
      <c r="E6" s="43">
        <f t="shared" si="3"/>
        <v>250.65743333333336</v>
      </c>
      <c r="F6" s="43">
        <f t="shared" si="4"/>
        <v>250.65743333333336</v>
      </c>
      <c r="G6" s="43">
        <f t="shared" si="4"/>
        <v>250.65743333333336</v>
      </c>
      <c r="H6" s="43">
        <f t="shared" si="4"/>
        <v>250.65743333333336</v>
      </c>
      <c r="I6" s="43">
        <f t="shared" si="4"/>
        <v>250.65743333333336</v>
      </c>
      <c r="J6" s="43">
        <f t="shared" si="4"/>
        <v>250.65743333333336</v>
      </c>
      <c r="K6" s="43">
        <f t="shared" si="4"/>
        <v>250.65743333333336</v>
      </c>
      <c r="L6" s="43">
        <f t="shared" si="4"/>
        <v>250.65743333333336</v>
      </c>
      <c r="M6" s="43">
        <f t="shared" si="4"/>
        <v>250.65743333333336</v>
      </c>
      <c r="N6" s="43">
        <f t="shared" si="4"/>
        <v>250.65743333333336</v>
      </c>
      <c r="O6" s="43">
        <f t="shared" si="4"/>
        <v>250.65743333333336</v>
      </c>
      <c r="P6" s="43">
        <f t="shared" si="4"/>
        <v>250.65743333333336</v>
      </c>
      <c r="Q6" s="44">
        <f t="shared" si="4"/>
        <v>250.65743333333336</v>
      </c>
      <c r="R6" s="28">
        <f t="shared" si="5"/>
        <v>3007.8892</v>
      </c>
    </row>
    <row r="7" spans="2:18" ht="16.5" thickBot="1">
      <c r="B7" s="47" t="s">
        <v>83</v>
      </c>
      <c r="C7" s="48">
        <f aca="true" t="shared" si="6" ref="C7:C11">C6+1</f>
        <v>3</v>
      </c>
      <c r="D7" s="49">
        <f>'REFERENČNÍ ÚDAJE'!M20</f>
        <v>1771</v>
      </c>
      <c r="E7" s="50">
        <f t="shared" si="3"/>
        <v>1771</v>
      </c>
      <c r="F7" s="50">
        <f t="shared" si="4"/>
        <v>1771</v>
      </c>
      <c r="G7" s="50">
        <f t="shared" si="4"/>
        <v>1771</v>
      </c>
      <c r="H7" s="50">
        <f t="shared" si="4"/>
        <v>1771</v>
      </c>
      <c r="I7" s="50">
        <f t="shared" si="4"/>
        <v>1771</v>
      </c>
      <c r="J7" s="50">
        <f t="shared" si="4"/>
        <v>1771</v>
      </c>
      <c r="K7" s="50">
        <f t="shared" si="4"/>
        <v>1771</v>
      </c>
      <c r="L7" s="50">
        <f t="shared" si="4"/>
        <v>1771</v>
      </c>
      <c r="M7" s="50">
        <f t="shared" si="4"/>
        <v>1771</v>
      </c>
      <c r="N7" s="50">
        <f t="shared" si="4"/>
        <v>1771</v>
      </c>
      <c r="O7" s="50">
        <f t="shared" si="4"/>
        <v>1771</v>
      </c>
      <c r="P7" s="50">
        <f t="shared" si="4"/>
        <v>1771</v>
      </c>
      <c r="Q7" s="51">
        <f t="shared" si="4"/>
        <v>1771</v>
      </c>
      <c r="R7" s="28">
        <f t="shared" si="5"/>
        <v>21252</v>
      </c>
    </row>
    <row r="8" spans="2:18" ht="15">
      <c r="B8" s="52" t="s">
        <v>138</v>
      </c>
      <c r="C8" s="53">
        <f t="shared" si="6"/>
        <v>4</v>
      </c>
      <c r="D8" s="260">
        <f>'REFERENČNÍ ÚDAJE'!G20</f>
        <v>1240091.6095</v>
      </c>
      <c r="E8" s="54">
        <f>D8</f>
        <v>1240091.6095</v>
      </c>
      <c r="F8" s="54">
        <f aca="true" t="shared" si="7" ref="F8:Q8">$D8</f>
        <v>1240091.6095</v>
      </c>
      <c r="G8" s="54">
        <f t="shared" si="7"/>
        <v>1240091.6095</v>
      </c>
      <c r="H8" s="54">
        <f t="shared" si="7"/>
        <v>1240091.6095</v>
      </c>
      <c r="I8" s="54">
        <f t="shared" si="7"/>
        <v>1240091.6095</v>
      </c>
      <c r="J8" s="54">
        <f t="shared" si="7"/>
        <v>1240091.6095</v>
      </c>
      <c r="K8" s="54">
        <f t="shared" si="7"/>
        <v>1240091.6095</v>
      </c>
      <c r="L8" s="54">
        <f t="shared" si="7"/>
        <v>1240091.6095</v>
      </c>
      <c r="M8" s="54">
        <f t="shared" si="7"/>
        <v>1240091.6095</v>
      </c>
      <c r="N8" s="54">
        <f t="shared" si="7"/>
        <v>1240091.6095</v>
      </c>
      <c r="O8" s="54">
        <f t="shared" si="7"/>
        <v>1240091.6095</v>
      </c>
      <c r="P8" s="54">
        <f t="shared" si="7"/>
        <v>1240091.6095</v>
      </c>
      <c r="Q8" s="55">
        <f t="shared" si="7"/>
        <v>1240091.6095</v>
      </c>
      <c r="R8" s="28">
        <f>SUM(F8:Q8)</f>
        <v>14881099.314000001</v>
      </c>
    </row>
    <row r="9" spans="2:18" ht="15">
      <c r="B9" s="45" t="s">
        <v>139</v>
      </c>
      <c r="C9" s="46">
        <f>C8+1</f>
        <v>5</v>
      </c>
      <c r="D9" s="42">
        <f>'REFERENČNÍ ÚDAJE'!K20</f>
        <v>906422.5498823847</v>
      </c>
      <c r="E9" s="43">
        <f t="shared" si="3"/>
        <v>906422.5498823847</v>
      </c>
      <c r="F9" s="43">
        <f t="shared" si="4"/>
        <v>906422.5498823847</v>
      </c>
      <c r="G9" s="43">
        <f t="shared" si="4"/>
        <v>906422.5498823847</v>
      </c>
      <c r="H9" s="43">
        <f t="shared" si="4"/>
        <v>906422.5498823847</v>
      </c>
      <c r="I9" s="43">
        <f t="shared" si="4"/>
        <v>906422.5498823847</v>
      </c>
      <c r="J9" s="43">
        <f t="shared" si="4"/>
        <v>906422.5498823847</v>
      </c>
      <c r="K9" s="43">
        <f t="shared" si="4"/>
        <v>906422.5498823847</v>
      </c>
      <c r="L9" s="43">
        <f t="shared" si="4"/>
        <v>906422.5498823847</v>
      </c>
      <c r="M9" s="43">
        <f t="shared" si="4"/>
        <v>906422.5498823847</v>
      </c>
      <c r="N9" s="43">
        <f t="shared" si="4"/>
        <v>906422.5498823847</v>
      </c>
      <c r="O9" s="43">
        <f t="shared" si="4"/>
        <v>906422.5498823847</v>
      </c>
      <c r="P9" s="43">
        <f t="shared" si="4"/>
        <v>906422.5498823847</v>
      </c>
      <c r="Q9" s="44">
        <f t="shared" si="4"/>
        <v>906422.5498823847</v>
      </c>
      <c r="R9" s="28">
        <f t="shared" si="5"/>
        <v>10877070.598588616</v>
      </c>
    </row>
    <row r="10" spans="2:18" ht="15">
      <c r="B10" s="45" t="s">
        <v>120</v>
      </c>
      <c r="C10" s="46">
        <f t="shared" si="6"/>
        <v>6</v>
      </c>
      <c r="D10" s="42">
        <f>'REFERENČNÍ ÚDAJE'!O20</f>
        <v>174744.57</v>
      </c>
      <c r="E10" s="43">
        <f t="shared" si="3"/>
        <v>174744.57</v>
      </c>
      <c r="F10" s="43">
        <f t="shared" si="4"/>
        <v>174744.57</v>
      </c>
      <c r="G10" s="43">
        <f t="shared" si="4"/>
        <v>174744.57</v>
      </c>
      <c r="H10" s="43">
        <f t="shared" si="4"/>
        <v>174744.57</v>
      </c>
      <c r="I10" s="43">
        <f t="shared" si="4"/>
        <v>174744.57</v>
      </c>
      <c r="J10" s="43">
        <f t="shared" si="4"/>
        <v>174744.57</v>
      </c>
      <c r="K10" s="43">
        <f t="shared" si="4"/>
        <v>174744.57</v>
      </c>
      <c r="L10" s="43">
        <f t="shared" si="4"/>
        <v>174744.57</v>
      </c>
      <c r="M10" s="43">
        <f t="shared" si="4"/>
        <v>174744.57</v>
      </c>
      <c r="N10" s="43">
        <f t="shared" si="4"/>
        <v>174744.57</v>
      </c>
      <c r="O10" s="43">
        <f t="shared" si="4"/>
        <v>174744.57</v>
      </c>
      <c r="P10" s="43">
        <f t="shared" si="4"/>
        <v>174744.57</v>
      </c>
      <c r="Q10" s="44">
        <f t="shared" si="4"/>
        <v>174744.57</v>
      </c>
      <c r="R10" s="28">
        <f t="shared" si="5"/>
        <v>2096934.8400000005</v>
      </c>
    </row>
    <row r="11" spans="2:18" ht="15.75" thickBot="1">
      <c r="B11" s="56" t="s">
        <v>121</v>
      </c>
      <c r="C11" s="48">
        <f t="shared" si="6"/>
        <v>7</v>
      </c>
      <c r="D11" s="49">
        <f>'REFERENČNÍ ÚDAJE'!R20</f>
        <v>0</v>
      </c>
      <c r="E11" s="50">
        <f t="shared" si="3"/>
        <v>0</v>
      </c>
      <c r="F11" s="50">
        <f t="shared" si="4"/>
        <v>0</v>
      </c>
      <c r="G11" s="50">
        <f t="shared" si="4"/>
        <v>0</v>
      </c>
      <c r="H11" s="50">
        <f t="shared" si="4"/>
        <v>0</v>
      </c>
      <c r="I11" s="50">
        <f t="shared" si="4"/>
        <v>0</v>
      </c>
      <c r="J11" s="50">
        <f t="shared" si="4"/>
        <v>0</v>
      </c>
      <c r="K11" s="50">
        <f t="shared" si="4"/>
        <v>0</v>
      </c>
      <c r="L11" s="50">
        <f t="shared" si="4"/>
        <v>0</v>
      </c>
      <c r="M11" s="50">
        <f t="shared" si="4"/>
        <v>0</v>
      </c>
      <c r="N11" s="50">
        <f t="shared" si="4"/>
        <v>0</v>
      </c>
      <c r="O11" s="50">
        <f t="shared" si="4"/>
        <v>0</v>
      </c>
      <c r="P11" s="50">
        <f t="shared" si="4"/>
        <v>0</v>
      </c>
      <c r="Q11" s="51">
        <f t="shared" si="4"/>
        <v>0</v>
      </c>
      <c r="R11" s="28">
        <f t="shared" si="5"/>
        <v>0</v>
      </c>
    </row>
    <row r="12" spans="2:18" ht="15.75" thickBot="1">
      <c r="B12" s="605" t="s">
        <v>279</v>
      </c>
      <c r="C12" s="58" t="s">
        <v>52</v>
      </c>
      <c r="D12" s="59">
        <f aca="true" t="shared" si="8" ref="D12:Q12">SUM(D8:D11)</f>
        <v>2321258.7293823846</v>
      </c>
      <c r="E12" s="60">
        <f t="shared" si="8"/>
        <v>2321258.7293823846</v>
      </c>
      <c r="F12" s="59">
        <f t="shared" si="8"/>
        <v>2321258.7293823846</v>
      </c>
      <c r="G12" s="59">
        <f t="shared" si="8"/>
        <v>2321258.7293823846</v>
      </c>
      <c r="H12" s="59">
        <f t="shared" si="8"/>
        <v>2321258.7293823846</v>
      </c>
      <c r="I12" s="59">
        <f t="shared" si="8"/>
        <v>2321258.7293823846</v>
      </c>
      <c r="J12" s="59">
        <f t="shared" si="8"/>
        <v>2321258.7293823846</v>
      </c>
      <c r="K12" s="59">
        <f t="shared" si="8"/>
        <v>2321258.7293823846</v>
      </c>
      <c r="L12" s="59">
        <f t="shared" si="8"/>
        <v>2321258.7293823846</v>
      </c>
      <c r="M12" s="59">
        <f t="shared" si="8"/>
        <v>2321258.7293823846</v>
      </c>
      <c r="N12" s="59">
        <f t="shared" si="8"/>
        <v>2321258.7293823846</v>
      </c>
      <c r="O12" s="59">
        <f t="shared" si="8"/>
        <v>2321258.7293823846</v>
      </c>
      <c r="P12" s="59">
        <f t="shared" si="8"/>
        <v>2321258.7293823846</v>
      </c>
      <c r="Q12" s="61">
        <f t="shared" si="8"/>
        <v>2321258.7293823846</v>
      </c>
      <c r="R12" s="28">
        <f t="shared" si="5"/>
        <v>27855104.752588615</v>
      </c>
    </row>
    <row r="13" ht="15.75" thickBot="1"/>
    <row r="14" spans="2:19" ht="15.75" thickBot="1">
      <c r="B14" s="643" t="s">
        <v>141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5"/>
      <c r="R14" s="62" t="s">
        <v>53</v>
      </c>
      <c r="S14" s="62" t="s">
        <v>54</v>
      </c>
    </row>
    <row r="15" spans="2:21" ht="15">
      <c r="B15" s="45" t="s">
        <v>136</v>
      </c>
      <c r="C15" s="68">
        <f>C11+1</f>
        <v>8</v>
      </c>
      <c r="D15" s="69" t="s">
        <v>38</v>
      </c>
      <c r="E15" s="63"/>
      <c r="F15" s="64"/>
      <c r="G15" s="64"/>
      <c r="H15" s="64"/>
      <c r="I15" s="64"/>
      <c r="J15" s="64"/>
      <c r="K15" s="64"/>
      <c r="L15" s="64"/>
      <c r="M15" s="64"/>
      <c r="N15" s="65"/>
      <c r="O15" s="65"/>
      <c r="P15" s="65"/>
      <c r="Q15" s="66"/>
      <c r="R15" s="28">
        <f aca="true" t="shared" si="9" ref="R15:R22">SUM(F15:Q15)</f>
        <v>0</v>
      </c>
      <c r="S15" s="28">
        <f aca="true" t="shared" si="10" ref="S15:S22">R5-R15</f>
        <v>34494.35999999999</v>
      </c>
      <c r="T15" s="23" t="s">
        <v>0</v>
      </c>
      <c r="U15" s="67">
        <f aca="true" t="shared" si="11" ref="U15:U20">S15/R5</f>
        <v>1</v>
      </c>
    </row>
    <row r="16" spans="2:21" ht="15">
      <c r="B16" s="45" t="s">
        <v>137</v>
      </c>
      <c r="C16" s="68">
        <f>C15+1</f>
        <v>9</v>
      </c>
      <c r="D16" s="69" t="s">
        <v>38</v>
      </c>
      <c r="E16" s="63"/>
      <c r="F16" s="64"/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6"/>
      <c r="R16" s="28">
        <f t="shared" si="9"/>
        <v>0</v>
      </c>
      <c r="S16" s="28">
        <f t="shared" si="10"/>
        <v>3007.8892</v>
      </c>
      <c r="T16" s="23" t="s">
        <v>114</v>
      </c>
      <c r="U16" s="67">
        <f t="shared" si="11"/>
        <v>1</v>
      </c>
    </row>
    <row r="17" spans="2:21" ht="16.5" thickBot="1">
      <c r="B17" s="45" t="s">
        <v>83</v>
      </c>
      <c r="C17" s="68">
        <f aca="true" t="shared" si="12" ref="C17:C21">C16+1</f>
        <v>10</v>
      </c>
      <c r="D17" s="69" t="s">
        <v>38</v>
      </c>
      <c r="E17" s="336"/>
      <c r="F17" s="337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9"/>
      <c r="R17" s="28">
        <f t="shared" si="9"/>
        <v>0</v>
      </c>
      <c r="S17" s="28">
        <f t="shared" si="10"/>
        <v>21252</v>
      </c>
      <c r="T17" s="23" t="s">
        <v>2</v>
      </c>
      <c r="U17" s="67">
        <f t="shared" si="11"/>
        <v>1</v>
      </c>
    </row>
    <row r="18" spans="2:21" ht="15">
      <c r="B18" s="334" t="s">
        <v>138</v>
      </c>
      <c r="C18" s="340">
        <f t="shared" si="12"/>
        <v>11</v>
      </c>
      <c r="D18" s="341" t="s">
        <v>38</v>
      </c>
      <c r="E18" s="335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28">
        <f t="shared" si="9"/>
        <v>0</v>
      </c>
      <c r="S18" s="28">
        <f t="shared" si="10"/>
        <v>14881099.314000001</v>
      </c>
      <c r="T18" s="23" t="s">
        <v>5</v>
      </c>
      <c r="U18" s="67">
        <f t="shared" si="11"/>
        <v>1</v>
      </c>
    </row>
    <row r="19" spans="2:21" ht="15">
      <c r="B19" s="45" t="s">
        <v>139</v>
      </c>
      <c r="C19" s="68">
        <f>C18+1</f>
        <v>12</v>
      </c>
      <c r="D19" s="69" t="s">
        <v>38</v>
      </c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6"/>
      <c r="R19" s="28">
        <f t="shared" si="9"/>
        <v>0</v>
      </c>
      <c r="S19" s="28">
        <f t="shared" si="10"/>
        <v>10877070.598588616</v>
      </c>
      <c r="T19" s="23" t="s">
        <v>5</v>
      </c>
      <c r="U19" s="67">
        <f t="shared" si="11"/>
        <v>1</v>
      </c>
    </row>
    <row r="20" spans="2:21" ht="15">
      <c r="B20" s="45" t="s">
        <v>120</v>
      </c>
      <c r="C20" s="68">
        <f t="shared" si="12"/>
        <v>13</v>
      </c>
      <c r="D20" s="69" t="s">
        <v>38</v>
      </c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6"/>
      <c r="R20" s="28">
        <f t="shared" si="9"/>
        <v>0</v>
      </c>
      <c r="S20" s="28">
        <f t="shared" si="10"/>
        <v>2096934.8400000005</v>
      </c>
      <c r="T20" s="23" t="s">
        <v>5</v>
      </c>
      <c r="U20" s="67">
        <f t="shared" si="11"/>
        <v>1</v>
      </c>
    </row>
    <row r="21" spans="2:21" ht="15.75" thickBot="1">
      <c r="B21" s="56" t="s">
        <v>121</v>
      </c>
      <c r="C21" s="70">
        <f t="shared" si="12"/>
        <v>14</v>
      </c>
      <c r="D21" s="81" t="s">
        <v>38</v>
      </c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5"/>
      <c r="R21" s="28">
        <f t="shared" si="9"/>
        <v>0</v>
      </c>
      <c r="S21" s="28">
        <f t="shared" si="10"/>
        <v>0</v>
      </c>
      <c r="T21" s="23" t="s">
        <v>5</v>
      </c>
      <c r="U21" s="67"/>
    </row>
    <row r="22" spans="2:21" ht="15.75" thickBot="1">
      <c r="B22" s="605" t="s">
        <v>280</v>
      </c>
      <c r="C22" s="193" t="s">
        <v>55</v>
      </c>
      <c r="D22" s="194"/>
      <c r="E22" s="195">
        <f aca="true" t="shared" si="13" ref="E22:Q22">SUM(E18:E21)</f>
        <v>0</v>
      </c>
      <c r="F22" s="196">
        <f t="shared" si="13"/>
        <v>0</v>
      </c>
      <c r="G22" s="196">
        <f t="shared" si="13"/>
        <v>0</v>
      </c>
      <c r="H22" s="196">
        <f t="shared" si="13"/>
        <v>0</v>
      </c>
      <c r="I22" s="196">
        <f t="shared" si="13"/>
        <v>0</v>
      </c>
      <c r="J22" s="196">
        <f t="shared" si="13"/>
        <v>0</v>
      </c>
      <c r="K22" s="196">
        <f t="shared" si="13"/>
        <v>0</v>
      </c>
      <c r="L22" s="196">
        <f t="shared" si="13"/>
        <v>0</v>
      </c>
      <c r="M22" s="196">
        <f t="shared" si="13"/>
        <v>0</v>
      </c>
      <c r="N22" s="196">
        <f t="shared" si="13"/>
        <v>0</v>
      </c>
      <c r="O22" s="196">
        <f t="shared" si="13"/>
        <v>0</v>
      </c>
      <c r="P22" s="196">
        <f t="shared" si="13"/>
        <v>0</v>
      </c>
      <c r="Q22" s="197">
        <f t="shared" si="13"/>
        <v>0</v>
      </c>
      <c r="R22" s="28">
        <f t="shared" si="9"/>
        <v>0</v>
      </c>
      <c r="S22" s="28">
        <f t="shared" si="10"/>
        <v>27855104.752588615</v>
      </c>
      <c r="T22" s="23" t="s">
        <v>5</v>
      </c>
      <c r="U22" s="67">
        <f>S22/R12</f>
        <v>1</v>
      </c>
    </row>
    <row r="23" spans="2:18" ht="15.75" thickBot="1">
      <c r="B23" s="83"/>
      <c r="C23" s="84"/>
      <c r="D23" s="82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28"/>
    </row>
    <row r="24" spans="1:19" ht="15.75" thickBot="1">
      <c r="A24" s="86"/>
      <c r="B24" s="646" t="s">
        <v>142</v>
      </c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8"/>
      <c r="R24" s="87"/>
      <c r="S24" s="86"/>
    </row>
    <row r="25" spans="2:21" ht="15">
      <c r="B25" s="45" t="s">
        <v>136</v>
      </c>
      <c r="C25" s="68">
        <f>C21+1</f>
        <v>15</v>
      </c>
      <c r="D25" s="69" t="s">
        <v>38</v>
      </c>
      <c r="E25" s="198"/>
      <c r="F25" s="199"/>
      <c r="G25" s="199"/>
      <c r="H25" s="199"/>
      <c r="I25" s="199"/>
      <c r="J25" s="199"/>
      <c r="K25" s="199"/>
      <c r="L25" s="199"/>
      <c r="M25" s="199"/>
      <c r="N25" s="199"/>
      <c r="O25" s="200"/>
      <c r="P25" s="200"/>
      <c r="Q25" s="201"/>
      <c r="R25" s="28">
        <f aca="true" t="shared" si="14" ref="R25:R32">SUM(F25:Q25)</f>
        <v>0</v>
      </c>
      <c r="S25" s="28"/>
      <c r="T25" s="23"/>
      <c r="U25" s="67"/>
    </row>
    <row r="26" spans="2:21" ht="15">
      <c r="B26" s="45" t="s">
        <v>137</v>
      </c>
      <c r="C26" s="68">
        <f>C25+10</f>
        <v>25</v>
      </c>
      <c r="D26" s="69" t="s">
        <v>38</v>
      </c>
      <c r="E26" s="63"/>
      <c r="F26" s="64"/>
      <c r="G26" s="64"/>
      <c r="H26" s="64"/>
      <c r="I26" s="64"/>
      <c r="J26" s="64"/>
      <c r="K26" s="64"/>
      <c r="L26" s="64"/>
      <c r="M26" s="65"/>
      <c r="N26" s="65"/>
      <c r="O26" s="65"/>
      <c r="P26" s="65"/>
      <c r="Q26" s="66"/>
      <c r="R26" s="28">
        <f t="shared" si="14"/>
        <v>0</v>
      </c>
      <c r="S26" s="28"/>
      <c r="T26" s="23"/>
      <c r="U26" s="67"/>
    </row>
    <row r="27" spans="2:21" ht="16.5" thickBot="1">
      <c r="B27" s="45" t="s">
        <v>83</v>
      </c>
      <c r="C27" s="68">
        <f aca="true" t="shared" si="15" ref="C27:C31">C26+1</f>
        <v>26</v>
      </c>
      <c r="D27" s="71" t="s">
        <v>38</v>
      </c>
      <c r="E27" s="72"/>
      <c r="F27" s="73"/>
      <c r="G27" s="73"/>
      <c r="H27" s="73"/>
      <c r="I27" s="73"/>
      <c r="J27" s="73"/>
      <c r="K27" s="73"/>
      <c r="L27" s="73"/>
      <c r="M27" s="74"/>
      <c r="N27" s="74"/>
      <c r="O27" s="74"/>
      <c r="P27" s="74"/>
      <c r="Q27" s="75"/>
      <c r="R27" s="28">
        <f t="shared" si="14"/>
        <v>0</v>
      </c>
      <c r="S27" s="28"/>
      <c r="T27" s="23"/>
      <c r="U27" s="67"/>
    </row>
    <row r="28" spans="2:21" ht="15">
      <c r="B28" s="334" t="s">
        <v>138</v>
      </c>
      <c r="C28" s="76">
        <f t="shared" si="15"/>
        <v>27</v>
      </c>
      <c r="D28" s="77" t="s">
        <v>38</v>
      </c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28">
        <f t="shared" si="14"/>
        <v>0</v>
      </c>
      <c r="S28" s="28"/>
      <c r="T28" s="23"/>
      <c r="U28" s="67"/>
    </row>
    <row r="29" spans="2:21" ht="15">
      <c r="B29" s="45" t="s">
        <v>139</v>
      </c>
      <c r="C29" s="68">
        <f>C28+1</f>
        <v>28</v>
      </c>
      <c r="D29" s="69" t="s">
        <v>38</v>
      </c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6"/>
      <c r="R29" s="28">
        <f t="shared" si="14"/>
        <v>0</v>
      </c>
      <c r="S29" s="28"/>
      <c r="T29" s="23"/>
      <c r="U29" s="67"/>
    </row>
    <row r="30" spans="2:21" ht="15">
      <c r="B30" s="45" t="s">
        <v>120</v>
      </c>
      <c r="C30" s="68">
        <f t="shared" si="15"/>
        <v>29</v>
      </c>
      <c r="D30" s="69" t="s">
        <v>38</v>
      </c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6"/>
      <c r="R30" s="28">
        <f t="shared" si="14"/>
        <v>0</v>
      </c>
      <c r="S30" s="28"/>
      <c r="T30" s="23"/>
      <c r="U30" s="67"/>
    </row>
    <row r="31" spans="2:21" ht="15.75" thickBot="1">
      <c r="B31" s="56" t="s">
        <v>121</v>
      </c>
      <c r="C31" s="70">
        <f t="shared" si="15"/>
        <v>30</v>
      </c>
      <c r="D31" s="81" t="s">
        <v>38</v>
      </c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5"/>
      <c r="R31" s="28">
        <f t="shared" si="14"/>
        <v>0</v>
      </c>
      <c r="S31" s="28"/>
      <c r="T31" s="23"/>
      <c r="U31" s="67"/>
    </row>
    <row r="32" spans="1:19" ht="15.75" thickBot="1">
      <c r="A32" s="86"/>
      <c r="B32" s="203" t="s">
        <v>56</v>
      </c>
      <c r="C32" s="204" t="s">
        <v>57</v>
      </c>
      <c r="D32" s="205"/>
      <c r="E32" s="206"/>
      <c r="F32" s="206">
        <f aca="true" t="shared" si="16" ref="F32:Q32">F12-F22</f>
        <v>2321258.7293823846</v>
      </c>
      <c r="G32" s="206">
        <f t="shared" si="16"/>
        <v>2321258.7293823846</v>
      </c>
      <c r="H32" s="206">
        <f t="shared" si="16"/>
        <v>2321258.7293823846</v>
      </c>
      <c r="I32" s="206">
        <f t="shared" si="16"/>
        <v>2321258.7293823846</v>
      </c>
      <c r="J32" s="206">
        <f t="shared" si="16"/>
        <v>2321258.7293823846</v>
      </c>
      <c r="K32" s="206">
        <f t="shared" si="16"/>
        <v>2321258.7293823846</v>
      </c>
      <c r="L32" s="206">
        <f t="shared" si="16"/>
        <v>2321258.7293823846</v>
      </c>
      <c r="M32" s="206">
        <f t="shared" si="16"/>
        <v>2321258.7293823846</v>
      </c>
      <c r="N32" s="206">
        <f t="shared" si="16"/>
        <v>2321258.7293823846</v>
      </c>
      <c r="O32" s="206">
        <f t="shared" si="16"/>
        <v>2321258.7293823846</v>
      </c>
      <c r="P32" s="206">
        <f t="shared" si="16"/>
        <v>2321258.7293823846</v>
      </c>
      <c r="Q32" s="207">
        <f t="shared" si="16"/>
        <v>2321258.7293823846</v>
      </c>
      <c r="R32" s="202">
        <f t="shared" si="14"/>
        <v>27855104.752588615</v>
      </c>
      <c r="S32" s="89" t="s">
        <v>86</v>
      </c>
    </row>
    <row r="33" spans="1:19" ht="15">
      <c r="A33" s="86"/>
      <c r="C33" s="191"/>
      <c r="D33" s="211" t="s">
        <v>47</v>
      </c>
      <c r="E33" s="88"/>
      <c r="F33" s="208" t="str">
        <f aca="true" t="shared" si="17" ref="F33:R33">IF(F32=SUM(F28:F31),"OK","!")</f>
        <v>!</v>
      </c>
      <c r="G33" s="208" t="str">
        <f t="shared" si="17"/>
        <v>!</v>
      </c>
      <c r="H33" s="208" t="str">
        <f t="shared" si="17"/>
        <v>!</v>
      </c>
      <c r="I33" s="208" t="str">
        <f t="shared" si="17"/>
        <v>!</v>
      </c>
      <c r="J33" s="208" t="str">
        <f t="shared" si="17"/>
        <v>!</v>
      </c>
      <c r="K33" s="208" t="str">
        <f t="shared" si="17"/>
        <v>!</v>
      </c>
      <c r="L33" s="208" t="str">
        <f t="shared" si="17"/>
        <v>!</v>
      </c>
      <c r="M33" s="208" t="str">
        <f t="shared" si="17"/>
        <v>!</v>
      </c>
      <c r="N33" s="208" t="str">
        <f t="shared" si="17"/>
        <v>!</v>
      </c>
      <c r="O33" s="208" t="str">
        <f t="shared" si="17"/>
        <v>!</v>
      </c>
      <c r="P33" s="208" t="str">
        <f t="shared" si="17"/>
        <v>!</v>
      </c>
      <c r="Q33" s="208" t="str">
        <f t="shared" si="17"/>
        <v>!</v>
      </c>
      <c r="R33" s="208" t="str">
        <f t="shared" si="17"/>
        <v>!</v>
      </c>
      <c r="S33" s="89"/>
    </row>
    <row r="34" spans="2:18" ht="15.75" thickBot="1">
      <c r="B34" s="90"/>
      <c r="C34" s="91"/>
      <c r="D34" s="92"/>
      <c r="E34" s="9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28"/>
    </row>
    <row r="35" spans="2:18" ht="15.75" thickBot="1">
      <c r="B35" s="643" t="s">
        <v>128</v>
      </c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5"/>
      <c r="R35" s="23"/>
    </row>
    <row r="36" spans="2:25" ht="15">
      <c r="B36" s="218" t="s">
        <v>94</v>
      </c>
      <c r="C36" s="76">
        <f>C31+1</f>
        <v>31</v>
      </c>
      <c r="D36" s="219" t="s">
        <v>38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202">
        <f>SUM(E36:Q36)</f>
        <v>0</v>
      </c>
      <c r="S36" s="93" t="s">
        <v>123</v>
      </c>
      <c r="T36" s="94"/>
      <c r="X36" s="157" t="str">
        <f>IF(R36='Investice a úspory'!D13,"OK","!")</f>
        <v>OK</v>
      </c>
      <c r="Y36" s="98" t="s">
        <v>59</v>
      </c>
    </row>
    <row r="37" spans="2:20" ht="15">
      <c r="B37" s="45" t="s">
        <v>60</v>
      </c>
      <c r="C37" s="68">
        <f>C36+1</f>
        <v>32</v>
      </c>
      <c r="D37" s="96" t="s">
        <v>38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6"/>
      <c r="R37" s="202">
        <f>SUM(E37:Q37)</f>
        <v>0</v>
      </c>
      <c r="S37" s="99" t="s">
        <v>124</v>
      </c>
      <c r="T37" s="94"/>
    </row>
    <row r="38" spans="2:20" ht="15">
      <c r="B38" s="220" t="s">
        <v>105</v>
      </c>
      <c r="C38" s="68"/>
      <c r="D38" s="96"/>
      <c r="E38" s="209">
        <f aca="true" t="shared" si="18" ref="E38:K38">E36+E37</f>
        <v>0</v>
      </c>
      <c r="F38" s="209">
        <f t="shared" si="18"/>
        <v>0</v>
      </c>
      <c r="G38" s="209">
        <f t="shared" si="18"/>
        <v>0</v>
      </c>
      <c r="H38" s="209">
        <f t="shared" si="18"/>
        <v>0</v>
      </c>
      <c r="I38" s="209">
        <f t="shared" si="18"/>
        <v>0</v>
      </c>
      <c r="J38" s="209">
        <f t="shared" si="18"/>
        <v>0</v>
      </c>
      <c r="K38" s="209">
        <f t="shared" si="18"/>
        <v>0</v>
      </c>
      <c r="L38" s="209">
        <f>L36+L37</f>
        <v>0</v>
      </c>
      <c r="M38" s="209">
        <f aca="true" t="shared" si="19" ref="M38:R38">M36+M37</f>
        <v>0</v>
      </c>
      <c r="N38" s="209">
        <f t="shared" si="19"/>
        <v>0</v>
      </c>
      <c r="O38" s="209">
        <f aca="true" t="shared" si="20" ref="O38:P38">O36+O37</f>
        <v>0</v>
      </c>
      <c r="P38" s="209">
        <f t="shared" si="20"/>
        <v>0</v>
      </c>
      <c r="Q38" s="221">
        <f t="shared" si="19"/>
        <v>0</v>
      </c>
      <c r="R38" s="217">
        <f t="shared" si="19"/>
        <v>0</v>
      </c>
      <c r="S38" s="210" t="s">
        <v>106</v>
      </c>
      <c r="T38" s="94"/>
    </row>
    <row r="39" spans="2:19" ht="15">
      <c r="B39" s="45" t="s">
        <v>61</v>
      </c>
      <c r="C39" s="68">
        <f>C37+1</f>
        <v>33</v>
      </c>
      <c r="D39" s="96" t="s">
        <v>38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6"/>
      <c r="R39" s="202">
        <f>SUM(E39:Q39)</f>
        <v>0</v>
      </c>
      <c r="S39" s="99" t="s">
        <v>125</v>
      </c>
    </row>
    <row r="40" spans="2:19" ht="15.75" thickBot="1">
      <c r="B40" s="47" t="s">
        <v>62</v>
      </c>
      <c r="C40" s="70">
        <f>C39+1</f>
        <v>34</v>
      </c>
      <c r="D40" s="81" t="s">
        <v>38</v>
      </c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02">
        <f>SUM(E40:Q40)</f>
        <v>0</v>
      </c>
      <c r="S40" s="99" t="s">
        <v>165</v>
      </c>
    </row>
    <row r="41" spans="2:19" ht="15.75" thickBot="1">
      <c r="B41" s="57" t="s">
        <v>281</v>
      </c>
      <c r="C41" s="193" t="s">
        <v>58</v>
      </c>
      <c r="D41" s="225"/>
      <c r="E41" s="226">
        <f>SUM(E38:E40)</f>
        <v>0</v>
      </c>
      <c r="F41" s="226">
        <f aca="true" t="shared" si="21" ref="F41:R41">SUM(F38:F40)</f>
        <v>0</v>
      </c>
      <c r="G41" s="226">
        <f t="shared" si="21"/>
        <v>0</v>
      </c>
      <c r="H41" s="226">
        <f t="shared" si="21"/>
        <v>0</v>
      </c>
      <c r="I41" s="226">
        <f t="shared" si="21"/>
        <v>0</v>
      </c>
      <c r="J41" s="226">
        <f t="shared" si="21"/>
        <v>0</v>
      </c>
      <c r="K41" s="226">
        <f t="shared" si="21"/>
        <v>0</v>
      </c>
      <c r="L41" s="226">
        <f t="shared" si="21"/>
        <v>0</v>
      </c>
      <c r="M41" s="226">
        <f t="shared" si="21"/>
        <v>0</v>
      </c>
      <c r="N41" s="226">
        <f t="shared" si="21"/>
        <v>0</v>
      </c>
      <c r="O41" s="226">
        <f aca="true" t="shared" si="22" ref="O41:P41">SUM(O38:O40)</f>
        <v>0</v>
      </c>
      <c r="P41" s="226">
        <f t="shared" si="22"/>
        <v>0</v>
      </c>
      <c r="Q41" s="227">
        <f t="shared" si="21"/>
        <v>0</v>
      </c>
      <c r="R41" s="224">
        <f t="shared" si="21"/>
        <v>0</v>
      </c>
      <c r="S41" s="99" t="s">
        <v>126</v>
      </c>
    </row>
    <row r="42" spans="2:19" ht="15" customHeight="1">
      <c r="B42" s="83"/>
      <c r="C42" s="84"/>
      <c r="D42" s="100"/>
      <c r="E42" s="100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S42" s="99"/>
    </row>
    <row r="43" spans="2:19" ht="15" customHeight="1" thickBot="1">
      <c r="B43" s="83"/>
      <c r="C43" s="84"/>
      <c r="D43" s="100"/>
      <c r="E43" s="100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S43" s="99"/>
    </row>
    <row r="44" spans="2:17" ht="15.75" thickBot="1">
      <c r="B44" s="228" t="s">
        <v>127</v>
      </c>
      <c r="C44" s="229"/>
      <c r="D44" s="229"/>
      <c r="E44" s="229"/>
      <c r="F44" s="230"/>
      <c r="G44" s="230"/>
      <c r="H44" s="231"/>
      <c r="I44" s="231"/>
      <c r="J44" s="231"/>
      <c r="K44" s="231"/>
      <c r="L44" s="231"/>
      <c r="M44" s="231"/>
      <c r="N44" s="231"/>
      <c r="O44" s="231"/>
      <c r="P44" s="231"/>
      <c r="Q44" s="232"/>
    </row>
    <row r="45" spans="2:19" ht="15.75" thickBot="1">
      <c r="B45" s="57" t="s">
        <v>108</v>
      </c>
      <c r="C45" s="234" t="s">
        <v>63</v>
      </c>
      <c r="D45" s="264" t="s">
        <v>13</v>
      </c>
      <c r="E45" s="235">
        <f aca="true" t="shared" si="23" ref="E45:N45">E41-E32</f>
        <v>0</v>
      </c>
      <c r="F45" s="235">
        <f t="shared" si="23"/>
        <v>-2321258.7293823846</v>
      </c>
      <c r="G45" s="235">
        <f t="shared" si="23"/>
        <v>-2321258.7293823846</v>
      </c>
      <c r="H45" s="235">
        <f t="shared" si="23"/>
        <v>-2321258.7293823846</v>
      </c>
      <c r="I45" s="235">
        <f t="shared" si="23"/>
        <v>-2321258.7293823846</v>
      </c>
      <c r="J45" s="235">
        <f t="shared" si="23"/>
        <v>-2321258.7293823846</v>
      </c>
      <c r="K45" s="235">
        <f t="shared" si="23"/>
        <v>-2321258.7293823846</v>
      </c>
      <c r="L45" s="235">
        <f t="shared" si="23"/>
        <v>-2321258.7293823846</v>
      </c>
      <c r="M45" s="235">
        <f t="shared" si="23"/>
        <v>-2321258.7293823846</v>
      </c>
      <c r="N45" s="235">
        <f t="shared" si="23"/>
        <v>-2321258.7293823846</v>
      </c>
      <c r="O45" s="235">
        <f aca="true" t="shared" si="24" ref="O45:P45">O41-O32</f>
        <v>-2321258.7293823846</v>
      </c>
      <c r="P45" s="235">
        <f t="shared" si="24"/>
        <v>-2321258.7293823846</v>
      </c>
      <c r="Q45" s="236">
        <f>Q41-Q32</f>
        <v>-2321258.7293823846</v>
      </c>
      <c r="R45" s="233">
        <f>R41-R32</f>
        <v>-27855104.752588615</v>
      </c>
      <c r="S45" s="212" t="s">
        <v>96</v>
      </c>
    </row>
    <row r="46" spans="2:19" ht="15">
      <c r="B46" s="213"/>
      <c r="C46" s="214"/>
      <c r="D46" s="215"/>
      <c r="G46" s="215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  <c r="S46" s="248" t="s">
        <v>65</v>
      </c>
    </row>
    <row r="47" spans="2:19" ht="15.75" thickBot="1">
      <c r="B47" s="216"/>
      <c r="C47" s="214"/>
      <c r="D47" s="215"/>
      <c r="G47" s="215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215"/>
      <c r="S47" s="248" t="s">
        <v>66</v>
      </c>
    </row>
    <row r="48" spans="2:17" ht="15.75" thickBot="1">
      <c r="B48" s="237" t="s">
        <v>107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9"/>
    </row>
    <row r="49" spans="2:18" ht="39.75" thickBot="1">
      <c r="B49" s="249" t="s">
        <v>122</v>
      </c>
      <c r="C49" s="240">
        <f>C40+1</f>
        <v>35</v>
      </c>
      <c r="D49" s="241" t="s">
        <v>38</v>
      </c>
      <c r="E49" s="242" t="s">
        <v>13</v>
      </c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4"/>
      <c r="R49" s="161">
        <f>SUM(F49:Q49)</f>
        <v>0</v>
      </c>
    </row>
    <row r="50" spans="2:19" ht="15.75" thickBot="1">
      <c r="B50" s="57" t="s">
        <v>161</v>
      </c>
      <c r="C50" s="234" t="s">
        <v>64</v>
      </c>
      <c r="D50" s="241"/>
      <c r="E50" s="206" t="s">
        <v>13</v>
      </c>
      <c r="F50" s="246">
        <f aca="true" t="shared" si="25" ref="F50:R50">IF(F32=0,0,F49/F32)</f>
        <v>0</v>
      </c>
      <c r="G50" s="246">
        <f t="shared" si="25"/>
        <v>0</v>
      </c>
      <c r="H50" s="246">
        <f t="shared" si="25"/>
        <v>0</v>
      </c>
      <c r="I50" s="246">
        <f t="shared" si="25"/>
        <v>0</v>
      </c>
      <c r="J50" s="246">
        <f t="shared" si="25"/>
        <v>0</v>
      </c>
      <c r="K50" s="246">
        <f t="shared" si="25"/>
        <v>0</v>
      </c>
      <c r="L50" s="246">
        <f t="shared" si="25"/>
        <v>0</v>
      </c>
      <c r="M50" s="246">
        <f t="shared" si="25"/>
        <v>0</v>
      </c>
      <c r="N50" s="246">
        <f t="shared" si="25"/>
        <v>0</v>
      </c>
      <c r="O50" s="246">
        <f aca="true" t="shared" si="26" ref="O50:P50">IF(O32=0,0,O49/O32)</f>
        <v>0</v>
      </c>
      <c r="P50" s="246">
        <f t="shared" si="26"/>
        <v>0</v>
      </c>
      <c r="Q50" s="247">
        <f t="shared" si="25"/>
        <v>0</v>
      </c>
      <c r="R50" s="245">
        <f t="shared" si="25"/>
        <v>0</v>
      </c>
      <c r="S50" s="89" t="s">
        <v>95</v>
      </c>
    </row>
    <row r="51" spans="2:17" ht="15">
      <c r="B51" s="95"/>
      <c r="C51" s="84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ht="15">
      <c r="F52" s="160"/>
    </row>
  </sheetData>
  <mergeCells count="5">
    <mergeCell ref="R2:R3"/>
    <mergeCell ref="B4:Q4"/>
    <mergeCell ref="B14:Q14"/>
    <mergeCell ref="B24:Q24"/>
    <mergeCell ref="B35:Q35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  <pageSetUpPr fitToPage="1"/>
  </sheetPr>
  <dimension ref="B2:K32"/>
  <sheetViews>
    <sheetView workbookViewId="0" topLeftCell="A1">
      <selection activeCell="B24" sqref="B24"/>
    </sheetView>
  </sheetViews>
  <sheetFormatPr defaultColWidth="9.140625" defaultRowHeight="15"/>
  <cols>
    <col min="1" max="1" width="5.7109375" style="103" customWidth="1"/>
    <col min="2" max="5" width="9.140625" style="103" customWidth="1"/>
    <col min="6" max="6" width="25.57421875" style="103" customWidth="1"/>
    <col min="7" max="7" width="6.140625" style="103" customWidth="1"/>
    <col min="8" max="8" width="7.140625" style="103" customWidth="1"/>
    <col min="9" max="9" width="19.8515625" style="103" customWidth="1"/>
    <col min="10" max="10" width="3.7109375" style="103" customWidth="1"/>
    <col min="11" max="11" width="5.8515625" style="103" customWidth="1"/>
    <col min="12" max="16384" width="9.140625" style="103" customWidth="1"/>
  </cols>
  <sheetData>
    <row r="2" spans="2:10" ht="24.75" customHeight="1">
      <c r="B2" s="649" t="s">
        <v>87</v>
      </c>
      <c r="C2" s="650"/>
      <c r="D2" s="650"/>
      <c r="E2" s="650"/>
      <c r="F2" s="650"/>
      <c r="G2" s="650"/>
      <c r="H2" s="650"/>
      <c r="I2" s="650"/>
      <c r="J2" s="651"/>
    </row>
    <row r="3" ht="12.75" customHeight="1"/>
    <row r="4" spans="7:9" ht="15">
      <c r="G4" s="136"/>
      <c r="H4" s="136"/>
      <c r="I4" s="144"/>
    </row>
    <row r="6" spans="2:10" ht="15">
      <c r="B6" s="652" t="s">
        <v>79</v>
      </c>
      <c r="C6" s="653"/>
      <c r="D6" s="653"/>
      <c r="E6" s="653"/>
      <c r="F6" s="653"/>
      <c r="G6" s="653"/>
      <c r="H6" s="653"/>
      <c r="I6" s="653"/>
      <c r="J6" s="654"/>
    </row>
    <row r="8" ht="15">
      <c r="B8" s="116" t="s">
        <v>78</v>
      </c>
    </row>
    <row r="9" spans="2:10" ht="6.75" customHeight="1">
      <c r="B9" s="143"/>
      <c r="C9" s="142"/>
      <c r="D9" s="110"/>
      <c r="E9" s="110"/>
      <c r="F9" s="110"/>
      <c r="G9" s="110"/>
      <c r="H9" s="110"/>
      <c r="I9" s="110"/>
      <c r="J9" s="110"/>
    </row>
    <row r="10" spans="2:10" ht="15">
      <c r="B10" s="129" t="s">
        <v>77</v>
      </c>
      <c r="C10" s="128"/>
      <c r="D10" s="128"/>
      <c r="E10" s="128"/>
      <c r="F10" s="128"/>
      <c r="G10" s="128"/>
      <c r="H10" s="128"/>
      <c r="I10" s="127">
        <f>'Modelová nabídka'!R36</f>
        <v>0</v>
      </c>
      <c r="J10" s="126" t="s">
        <v>67</v>
      </c>
    </row>
    <row r="11" spans="2:10" ht="15">
      <c r="B11" s="125" t="s">
        <v>11</v>
      </c>
      <c r="C11" s="123"/>
      <c r="D11" s="124"/>
      <c r="E11" s="124"/>
      <c r="F11" s="124"/>
      <c r="G11" s="124"/>
      <c r="H11" s="123">
        <v>0.21</v>
      </c>
      <c r="I11" s="122">
        <f>I10*H11</f>
        <v>0</v>
      </c>
      <c r="J11" s="121" t="s">
        <v>67</v>
      </c>
    </row>
    <row r="12" spans="2:10" ht="15">
      <c r="B12" s="120" t="s">
        <v>76</v>
      </c>
      <c r="C12" s="119"/>
      <c r="D12" s="119"/>
      <c r="E12" s="119"/>
      <c r="F12" s="119"/>
      <c r="G12" s="119"/>
      <c r="H12" s="119"/>
      <c r="I12" s="118">
        <f>I10+I11</f>
        <v>0</v>
      </c>
      <c r="J12" s="117" t="s">
        <v>67</v>
      </c>
    </row>
    <row r="13" ht="7.5" customHeight="1"/>
    <row r="16" ht="15">
      <c r="B16" s="116" t="s">
        <v>75</v>
      </c>
    </row>
    <row r="17" spans="2:10" ht="15">
      <c r="B17" s="141" t="s">
        <v>111</v>
      </c>
      <c r="C17" s="140"/>
      <c r="D17" s="140"/>
      <c r="E17" s="140"/>
      <c r="F17" s="140"/>
      <c r="G17" s="140"/>
      <c r="H17" s="140"/>
      <c r="I17" s="139">
        <f>'Modelová nabídka'!R37</f>
        <v>0</v>
      </c>
      <c r="J17" s="138" t="s">
        <v>1</v>
      </c>
    </row>
    <row r="20" ht="15">
      <c r="B20" s="1" t="s">
        <v>74</v>
      </c>
    </row>
    <row r="21" spans="2:3" ht="7.5" customHeight="1">
      <c r="B21" s="137"/>
      <c r="C21" s="136"/>
    </row>
    <row r="22" spans="2:11" ht="15">
      <c r="B22" s="135" t="s">
        <v>73</v>
      </c>
      <c r="C22" s="114"/>
      <c r="D22" s="114"/>
      <c r="E22" s="114"/>
      <c r="F22" s="114"/>
      <c r="G22" s="114"/>
      <c r="H22" s="114"/>
      <c r="I22" s="134">
        <f>'Modelová nabídka'!R39</f>
        <v>0</v>
      </c>
      <c r="J22" s="133" t="s">
        <v>67</v>
      </c>
      <c r="K22" s="158"/>
    </row>
    <row r="23" spans="2:11" ht="15">
      <c r="B23" s="132" t="s">
        <v>164</v>
      </c>
      <c r="C23" s="106"/>
      <c r="D23" s="106"/>
      <c r="E23" s="106"/>
      <c r="F23" s="106"/>
      <c r="G23" s="106"/>
      <c r="H23" s="106"/>
      <c r="I23" s="131">
        <f>'Modelová nabídka'!R40</f>
        <v>0</v>
      </c>
      <c r="J23" s="130" t="s">
        <v>1</v>
      </c>
      <c r="K23" s="158"/>
    </row>
    <row r="24" spans="2:10" ht="15">
      <c r="B24" s="125" t="s">
        <v>72</v>
      </c>
      <c r="C24" s="124"/>
      <c r="D24" s="124"/>
      <c r="E24" s="124"/>
      <c r="F24" s="124"/>
      <c r="G24" s="124"/>
      <c r="H24" s="124"/>
      <c r="I24" s="122">
        <f>SUM(I22:I23)</f>
        <v>0</v>
      </c>
      <c r="J24" s="121" t="s">
        <v>67</v>
      </c>
    </row>
    <row r="25" spans="2:10" ht="15">
      <c r="B25" s="125" t="s">
        <v>11</v>
      </c>
      <c r="C25" s="124"/>
      <c r="D25" s="124"/>
      <c r="E25" s="124"/>
      <c r="F25" s="124"/>
      <c r="G25" s="124"/>
      <c r="H25" s="123">
        <v>0.21</v>
      </c>
      <c r="I25" s="122">
        <f>I24*H25</f>
        <v>0</v>
      </c>
      <c r="J25" s="121" t="s">
        <v>1</v>
      </c>
    </row>
    <row r="26" spans="2:10" ht="15">
      <c r="B26" s="120" t="s">
        <v>71</v>
      </c>
      <c r="C26" s="119"/>
      <c r="D26" s="119"/>
      <c r="E26" s="119"/>
      <c r="F26" s="119"/>
      <c r="G26" s="119"/>
      <c r="H26" s="119"/>
      <c r="I26" s="118">
        <f>I24+I25</f>
        <v>0</v>
      </c>
      <c r="J26" s="117" t="s">
        <v>1</v>
      </c>
    </row>
    <row r="29" ht="15">
      <c r="B29" s="116" t="s">
        <v>70</v>
      </c>
    </row>
    <row r="30" spans="2:10" ht="15">
      <c r="B30" s="115" t="s">
        <v>69</v>
      </c>
      <c r="C30" s="114"/>
      <c r="D30" s="114"/>
      <c r="E30" s="114"/>
      <c r="F30" s="114"/>
      <c r="G30" s="114"/>
      <c r="H30" s="114"/>
      <c r="I30" s="113">
        <f>I10+I17+I24</f>
        <v>0</v>
      </c>
      <c r="J30" s="112" t="s">
        <v>67</v>
      </c>
    </row>
    <row r="31" spans="2:10" ht="15">
      <c r="B31" s="111" t="s">
        <v>11</v>
      </c>
      <c r="C31" s="110"/>
      <c r="D31" s="110"/>
      <c r="E31" s="110"/>
      <c r="F31" s="110"/>
      <c r="G31" s="110"/>
      <c r="H31" s="123">
        <v>0.21</v>
      </c>
      <c r="I31" s="109">
        <f>I11+I25</f>
        <v>0</v>
      </c>
      <c r="J31" s="108" t="s">
        <v>1</v>
      </c>
    </row>
    <row r="32" spans="2:10" ht="15">
      <c r="B32" s="107" t="s">
        <v>68</v>
      </c>
      <c r="C32" s="106"/>
      <c r="D32" s="106"/>
      <c r="E32" s="106"/>
      <c r="F32" s="106"/>
      <c r="G32" s="106"/>
      <c r="H32" s="106"/>
      <c r="I32" s="105">
        <f>I30+I31</f>
        <v>0</v>
      </c>
      <c r="J32" s="104" t="s">
        <v>67</v>
      </c>
    </row>
  </sheetData>
  <mergeCells count="2">
    <mergeCell ref="B2:J2"/>
    <mergeCell ref="B6:J6"/>
  </mergeCells>
  <printOptions/>
  <pageMargins left="0.7" right="0.7" top="0.787401575" bottom="0.787401575" header="0.3" footer="0.3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AFB6"/>
  </sheetPr>
  <dimension ref="A2:L16"/>
  <sheetViews>
    <sheetView workbookViewId="0" topLeftCell="A1">
      <selection activeCell="E20" sqref="E20"/>
    </sheetView>
  </sheetViews>
  <sheetFormatPr defaultColWidth="9.140625" defaultRowHeight="15"/>
  <cols>
    <col min="1" max="1" width="4.7109375" style="103" customWidth="1"/>
    <col min="2" max="2" width="9.140625" style="103" customWidth="1"/>
    <col min="3" max="3" width="57.140625" style="103" customWidth="1"/>
    <col min="4" max="4" width="0.9921875" style="103" customWidth="1"/>
    <col min="5" max="5" width="21.7109375" style="103" customWidth="1"/>
    <col min="6" max="6" width="9.140625" style="103" customWidth="1"/>
    <col min="7" max="7" width="6.7109375" style="103" customWidth="1"/>
    <col min="8" max="8" width="4.00390625" style="103" customWidth="1"/>
    <col min="9" max="9" width="19.421875" style="103" customWidth="1"/>
    <col min="10" max="10" width="4.7109375" style="103" customWidth="1"/>
    <col min="11" max="11" width="13.7109375" style="103" customWidth="1"/>
    <col min="12" max="12" width="9.140625" style="103" customWidth="1"/>
    <col min="13" max="13" width="10.7109375" style="103" customWidth="1"/>
    <col min="14" max="16384" width="9.140625" style="103" customWidth="1"/>
  </cols>
  <sheetData>
    <row r="1" ht="11.25" customHeight="1"/>
    <row r="2" spans="2:11" ht="20.25" customHeight="1">
      <c r="B2" s="655" t="s">
        <v>82</v>
      </c>
      <c r="C2" s="656"/>
      <c r="D2" s="656"/>
      <c r="E2" s="656"/>
      <c r="F2" s="656"/>
      <c r="G2" s="656"/>
      <c r="H2" s="656"/>
      <c r="I2" s="656"/>
      <c r="J2" s="656"/>
      <c r="K2" s="657"/>
    </row>
    <row r="3" spans="7:12" ht="15.75" thickBot="1">
      <c r="G3" s="154"/>
      <c r="L3" s="145"/>
    </row>
    <row r="4" spans="1:12" ht="15.75" thickBot="1">
      <c r="A4" s="116">
        <v>1</v>
      </c>
      <c r="B4" s="116" t="s">
        <v>85</v>
      </c>
      <c r="C4" s="154"/>
      <c r="E4" s="149" t="s">
        <v>112</v>
      </c>
      <c r="F4" s="148"/>
      <c r="G4" s="152">
        <v>0.4</v>
      </c>
      <c r="I4" s="147" t="s">
        <v>80</v>
      </c>
      <c r="K4" s="146">
        <f>'Modelová nabídka'!R41</f>
        <v>0</v>
      </c>
      <c r="L4" s="145"/>
    </row>
    <row r="5" spans="5:12" ht="15">
      <c r="E5" s="149"/>
      <c r="F5" s="148"/>
      <c r="G5" s="262"/>
      <c r="I5" s="147"/>
      <c r="K5" s="156"/>
      <c r="L5" s="145"/>
    </row>
    <row r="6" spans="2:12" ht="15.75" thickBot="1">
      <c r="B6" s="136"/>
      <c r="C6" s="261"/>
      <c r="E6" s="263"/>
      <c r="F6" s="148"/>
      <c r="G6" s="262"/>
      <c r="I6" s="147"/>
      <c r="J6" s="150"/>
      <c r="K6" s="155"/>
      <c r="L6" s="145"/>
    </row>
    <row r="7" spans="1:12" ht="15.75" thickBot="1">
      <c r="A7" s="116">
        <v>2</v>
      </c>
      <c r="B7" s="116" t="s">
        <v>129</v>
      </c>
      <c r="E7" s="149" t="s">
        <v>112</v>
      </c>
      <c r="G7" s="152">
        <v>0.35</v>
      </c>
      <c r="I7" s="147" t="s">
        <v>80</v>
      </c>
      <c r="K7" s="146">
        <f>'Modelová nabídka'!R32</f>
        <v>27855104.752588615</v>
      </c>
      <c r="L7" s="145"/>
    </row>
    <row r="8" spans="5:12" ht="15">
      <c r="E8" s="149"/>
      <c r="F8" s="148"/>
      <c r="G8" s="262"/>
      <c r="I8" s="147"/>
      <c r="K8" s="156"/>
      <c r="L8" s="145"/>
    </row>
    <row r="9" spans="5:12" ht="15.75" thickBot="1">
      <c r="E9" s="149"/>
      <c r="F9" s="148"/>
      <c r="G9" s="262"/>
      <c r="I9" s="147"/>
      <c r="K9" s="151"/>
      <c r="L9" s="145"/>
    </row>
    <row r="10" spans="1:12" ht="15.75" thickBot="1">
      <c r="A10" s="116">
        <v>3</v>
      </c>
      <c r="B10" s="116" t="s">
        <v>97</v>
      </c>
      <c r="C10" s="154"/>
      <c r="D10" s="154"/>
      <c r="E10" s="149" t="s">
        <v>112</v>
      </c>
      <c r="F10" s="148"/>
      <c r="G10" s="152">
        <v>0.15</v>
      </c>
      <c r="I10" s="147" t="s">
        <v>80</v>
      </c>
      <c r="J10" s="658"/>
      <c r="K10" s="146">
        <f>'Modelová nabídka'!R36</f>
        <v>0</v>
      </c>
      <c r="L10" s="145"/>
    </row>
    <row r="11" spans="1:12" ht="15">
      <c r="A11" s="116"/>
      <c r="B11" s="116"/>
      <c r="C11" s="154"/>
      <c r="D11" s="154"/>
      <c r="E11" s="149"/>
      <c r="F11" s="148"/>
      <c r="G11" s="152"/>
      <c r="I11" s="147"/>
      <c r="J11" s="658"/>
      <c r="K11" s="151"/>
      <c r="L11" s="145"/>
    </row>
    <row r="12" spans="1:12" ht="15.75" thickBot="1">
      <c r="A12" s="116"/>
      <c r="B12" s="116"/>
      <c r="C12" s="154"/>
      <c r="D12" s="154"/>
      <c r="E12" s="149"/>
      <c r="F12" s="148"/>
      <c r="G12" s="152"/>
      <c r="I12" s="147"/>
      <c r="J12" s="658"/>
      <c r="K12" s="151"/>
      <c r="L12" s="145"/>
    </row>
    <row r="13" spans="1:12" ht="15.75" thickBot="1">
      <c r="A13" s="116">
        <v>4</v>
      </c>
      <c r="B13" s="659" t="s">
        <v>99</v>
      </c>
      <c r="C13" s="659"/>
      <c r="D13" s="154"/>
      <c r="E13" s="149" t="s">
        <v>81</v>
      </c>
      <c r="F13" s="148"/>
      <c r="G13" s="152">
        <v>0.1</v>
      </c>
      <c r="I13" s="147" t="s">
        <v>80</v>
      </c>
      <c r="J13" s="658"/>
      <c r="K13" s="354">
        <f>'Modelová nabídka'!R50</f>
        <v>0</v>
      </c>
      <c r="L13" s="145"/>
    </row>
    <row r="14" spans="1:11" ht="15">
      <c r="A14" s="116"/>
      <c r="B14" s="659"/>
      <c r="C14" s="659"/>
      <c r="D14" s="154"/>
      <c r="E14" s="153"/>
      <c r="F14" s="148"/>
      <c r="G14" s="152"/>
      <c r="I14" s="147"/>
      <c r="J14" s="658"/>
      <c r="K14" s="151"/>
    </row>
    <row r="15" spans="1:11" ht="15">
      <c r="A15" s="116"/>
      <c r="B15" s="116"/>
      <c r="C15" s="154"/>
      <c r="D15" s="154"/>
      <c r="E15" s="153"/>
      <c r="F15" s="148"/>
      <c r="G15" s="152"/>
      <c r="I15" s="147"/>
      <c r="J15" s="658"/>
      <c r="K15" s="151"/>
    </row>
    <row r="16" spans="1:11" ht="15">
      <c r="A16" s="116"/>
      <c r="B16" s="116"/>
      <c r="C16" s="154"/>
      <c r="D16" s="154"/>
      <c r="E16" s="153"/>
      <c r="F16" s="148"/>
      <c r="G16" s="152"/>
      <c r="I16" s="147"/>
      <c r="J16" s="658"/>
      <c r="K16" s="151"/>
    </row>
  </sheetData>
  <mergeCells count="3">
    <mergeCell ref="B2:K2"/>
    <mergeCell ref="J10:J16"/>
    <mergeCell ref="B13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V49"/>
  <sheetViews>
    <sheetView tabSelected="1" zoomScale="85" zoomScaleNormal="85" workbookViewId="0" topLeftCell="A7">
      <selection activeCell="U20" sqref="U20"/>
    </sheetView>
  </sheetViews>
  <sheetFormatPr defaultColWidth="9.140625" defaultRowHeight="15" outlineLevelCol="1"/>
  <cols>
    <col min="1" max="1" width="0.9921875" style="3" customWidth="1"/>
    <col min="2" max="2" width="4.28125" style="3" customWidth="1"/>
    <col min="3" max="3" width="25.28125" style="3" customWidth="1"/>
    <col min="4" max="4" width="9.8515625" style="3" customWidth="1"/>
    <col min="5" max="5" width="7.421875" style="3" customWidth="1"/>
    <col min="6" max="6" width="9.8515625" style="3" customWidth="1"/>
    <col min="7" max="7" width="10.57421875" style="3" customWidth="1"/>
    <col min="8" max="8" width="2.00390625" style="3" customWidth="1"/>
    <col min="9" max="9" width="9.7109375" style="3" customWidth="1"/>
    <col min="10" max="10" width="10.421875" style="3" customWidth="1"/>
    <col min="11" max="11" width="10.140625" style="3" customWidth="1"/>
    <col min="12" max="12" width="2.140625" style="3" customWidth="1"/>
    <col min="13" max="13" width="8.7109375" style="3" customWidth="1"/>
    <col min="14" max="14" width="10.140625" style="3" customWidth="1"/>
    <col min="15" max="15" width="10.28125" style="3" customWidth="1"/>
    <col min="16" max="16" width="0.85546875" style="3" customWidth="1"/>
    <col min="17" max="17" width="10.421875" style="3" hidden="1" customWidth="1" outlineLevel="1"/>
    <col min="18" max="18" width="13.28125" style="3" hidden="1" customWidth="1" outlineLevel="1"/>
    <col min="19" max="19" width="2.421875" style="3" hidden="1" customWidth="1" outlineLevel="1"/>
    <col min="20" max="20" width="11.28125" style="3" customWidth="1" collapsed="1"/>
    <col min="21" max="21" width="12.140625" style="3" customWidth="1"/>
    <col min="22" max="16384" width="9.140625" style="3" customWidth="1"/>
  </cols>
  <sheetData>
    <row r="2" ht="21">
      <c r="C2" s="258" t="s">
        <v>119</v>
      </c>
    </row>
    <row r="3" ht="15">
      <c r="C3" s="167" t="s">
        <v>277</v>
      </c>
    </row>
    <row r="4" ht="15">
      <c r="C4" s="167" t="s">
        <v>282</v>
      </c>
    </row>
    <row r="5" ht="15">
      <c r="C5" s="167" t="s">
        <v>275</v>
      </c>
    </row>
    <row r="6" ht="15">
      <c r="C6" s="167" t="s">
        <v>278</v>
      </c>
    </row>
    <row r="7" ht="15">
      <c r="C7" s="596" t="s">
        <v>276</v>
      </c>
    </row>
    <row r="8" ht="15">
      <c r="C8" s="596" t="s">
        <v>145</v>
      </c>
    </row>
    <row r="11" spans="3:21" ht="15.75" customHeight="1">
      <c r="C11" s="2" t="s">
        <v>110</v>
      </c>
      <c r="E11" s="662" t="s">
        <v>6</v>
      </c>
      <c r="F11" s="662"/>
      <c r="G11" s="662"/>
      <c r="I11" s="667" t="s">
        <v>3</v>
      </c>
      <c r="J11" s="667"/>
      <c r="K11" s="667"/>
      <c r="M11" s="665" t="s">
        <v>7</v>
      </c>
      <c r="N11" s="665"/>
      <c r="O11" s="665"/>
      <c r="Q11" s="663" t="s">
        <v>10</v>
      </c>
      <c r="R11" s="663"/>
      <c r="T11" s="660" t="s">
        <v>118</v>
      </c>
      <c r="U11" s="660"/>
    </row>
    <row r="12" spans="3:21" ht="38.25" customHeight="1">
      <c r="C12" s="179"/>
      <c r="E12" s="268" t="s">
        <v>98</v>
      </c>
      <c r="F12" s="661" t="s">
        <v>159</v>
      </c>
      <c r="G12" s="661"/>
      <c r="I12" s="4" t="s">
        <v>98</v>
      </c>
      <c r="J12" s="668" t="s">
        <v>9</v>
      </c>
      <c r="K12" s="668"/>
      <c r="M12" s="5" t="s">
        <v>98</v>
      </c>
      <c r="N12" s="666" t="s">
        <v>9</v>
      </c>
      <c r="O12" s="666"/>
      <c r="Q12" s="664" t="s">
        <v>9</v>
      </c>
      <c r="R12" s="664"/>
      <c r="T12" s="660"/>
      <c r="U12" s="660"/>
    </row>
    <row r="13" spans="5:21" ht="15" customHeight="1">
      <c r="E13" s="324" t="s">
        <v>0</v>
      </c>
      <c r="F13" s="6" t="s">
        <v>4</v>
      </c>
      <c r="G13" s="6" t="s">
        <v>5</v>
      </c>
      <c r="I13" s="7" t="s">
        <v>114</v>
      </c>
      <c r="J13" s="8" t="s">
        <v>4</v>
      </c>
      <c r="K13" s="8" t="s">
        <v>5</v>
      </c>
      <c r="M13" s="9" t="s">
        <v>8</v>
      </c>
      <c r="N13" s="10" t="s">
        <v>4</v>
      </c>
      <c r="O13" s="10" t="s">
        <v>5</v>
      </c>
      <c r="Q13" s="11" t="s">
        <v>4</v>
      </c>
      <c r="R13" s="11" t="s">
        <v>5</v>
      </c>
      <c r="T13" s="250" t="s">
        <v>4</v>
      </c>
      <c r="U13" s="180" t="s">
        <v>5</v>
      </c>
    </row>
    <row r="14" spans="2:21" ht="15">
      <c r="B14" s="16"/>
      <c r="C14" s="16"/>
      <c r="D14" s="252" t="s">
        <v>113</v>
      </c>
      <c r="E14" s="16"/>
      <c r="F14" s="16"/>
      <c r="G14" s="15">
        <v>0.15</v>
      </c>
      <c r="H14" s="16"/>
      <c r="I14" s="16"/>
      <c r="J14" s="16"/>
      <c r="K14" s="15">
        <v>0.21</v>
      </c>
      <c r="L14" s="16"/>
      <c r="M14" s="16"/>
      <c r="N14" s="16"/>
      <c r="O14" s="15">
        <v>0.15</v>
      </c>
      <c r="P14" s="16"/>
      <c r="Q14" s="16"/>
      <c r="R14" s="15">
        <v>0.21</v>
      </c>
      <c r="T14" s="16"/>
      <c r="U14" s="16"/>
    </row>
    <row r="15" spans="7:18" ht="6.75" customHeight="1">
      <c r="G15" s="12"/>
      <c r="K15" s="12"/>
      <c r="O15" s="12"/>
      <c r="R15" s="12"/>
    </row>
    <row r="16" spans="2:21" s="13" customFormat="1" ht="15">
      <c r="B16" s="310">
        <v>1</v>
      </c>
      <c r="C16" s="311" t="s">
        <v>268</v>
      </c>
      <c r="D16" s="311"/>
      <c r="E16" s="312">
        <f>'ZŠ Masarykova'!F79</f>
        <v>1316.23</v>
      </c>
      <c r="F16" s="313">
        <f>'ZŠ Masarykova'!H79/1.15</f>
        <v>480134.38000000006</v>
      </c>
      <c r="G16" s="312">
        <f>F16*(1+$G$14)</f>
        <v>552154.537</v>
      </c>
      <c r="H16" s="312"/>
      <c r="I16" s="314">
        <f>'ZŠ Masarykova'!S79/1000</f>
        <v>51.6382</v>
      </c>
      <c r="J16" s="313">
        <f>K16/(1+$K$14)</f>
        <v>232337.47000000003</v>
      </c>
      <c r="K16" s="312">
        <f>'ZŠ Masarykova'!U79</f>
        <v>281128.3387</v>
      </c>
      <c r="L16" s="312"/>
      <c r="M16" s="312">
        <f>'ZŠ Masarykova'!BG79</f>
        <v>842</v>
      </c>
      <c r="N16" s="313">
        <f>O16/(1+$O$14)</f>
        <v>72243.6</v>
      </c>
      <c r="O16" s="312">
        <f>'ZŠ Masarykova'!BJ79</f>
        <v>83080.14</v>
      </c>
      <c r="P16" s="312"/>
      <c r="Q16" s="312">
        <v>0</v>
      </c>
      <c r="R16" s="315">
        <v>0</v>
      </c>
      <c r="T16" s="315">
        <f>F16+J16+N16+Q16</f>
        <v>784715.4500000001</v>
      </c>
      <c r="U16" s="312">
        <f>G16+K16+O16+R16</f>
        <v>916363.0157</v>
      </c>
    </row>
    <row r="17" spans="2:21" s="13" customFormat="1" ht="15">
      <c r="B17" s="316">
        <v>2</v>
      </c>
      <c r="C17" s="311" t="s">
        <v>269</v>
      </c>
      <c r="D17" s="317"/>
      <c r="E17" s="318">
        <f>'MŠ, ZUŠ a ZŠ čp. 17'!F61</f>
        <v>1279.09</v>
      </c>
      <c r="F17" s="313">
        <f>'MŠ, ZUŠ a ZŠ čp. 17'!H61/1.15</f>
        <v>473058.64</v>
      </c>
      <c r="G17" s="312">
        <f>F17*(1+$G$14)</f>
        <v>544017.436</v>
      </c>
      <c r="H17" s="318"/>
      <c r="I17" s="319">
        <f>'MŠ, ZUŠ a ZŠ čp. 17'!S81/1000</f>
        <v>38.6783</v>
      </c>
      <c r="J17" s="313">
        <f>K17/(1+$K$14)</f>
        <v>181929.67999999996</v>
      </c>
      <c r="K17" s="312">
        <f>'MŠ, ZUŠ a ZŠ čp. 17'!U81</f>
        <v>220134.91279999993</v>
      </c>
      <c r="L17" s="318"/>
      <c r="M17" s="318">
        <f>'MŠ, ZUŠ a ZŠ čp. 17'!AO81</f>
        <v>757</v>
      </c>
      <c r="N17" s="313">
        <f>O17/(1+$O$14)</f>
        <v>64950.600000000006</v>
      </c>
      <c r="O17" s="312">
        <f>'MŠ, ZUŠ a ZŠ čp. 17'!AR81</f>
        <v>74693.19</v>
      </c>
      <c r="P17" s="318"/>
      <c r="Q17" s="318">
        <v>0</v>
      </c>
      <c r="R17" s="320">
        <v>0</v>
      </c>
      <c r="T17" s="315">
        <f aca="true" t="shared" si="0" ref="T17:T19">F17+J17+N17+Q17</f>
        <v>719938.9199999999</v>
      </c>
      <c r="U17" s="312">
        <f aca="true" t="shared" si="1" ref="U17:U19">G17+K17+O17+R17</f>
        <v>838845.5388</v>
      </c>
    </row>
    <row r="18" spans="2:21" s="13" customFormat="1" ht="15">
      <c r="B18" s="310">
        <v>3</v>
      </c>
      <c r="C18" s="311" t="s">
        <v>270</v>
      </c>
      <c r="D18" s="311"/>
      <c r="E18" s="312">
        <f>'Sportovní hala'!F61</f>
        <v>279.21</v>
      </c>
      <c r="F18" s="313">
        <f>'Sportovní hala'!H61/1.15</f>
        <v>125147.51000000001</v>
      </c>
      <c r="G18" s="312">
        <f>F18*(1+$G$14)</f>
        <v>143919.6365</v>
      </c>
      <c r="H18" s="312"/>
      <c r="I18" s="319">
        <f>'Sportovní hala'!S61/1000</f>
        <v>10.824</v>
      </c>
      <c r="J18" s="313">
        <f>K18/(1+$K$14)</f>
        <v>40001.27</v>
      </c>
      <c r="K18" s="312">
        <f>'Sportovní hala'!U61</f>
        <v>48401.5367</v>
      </c>
      <c r="L18" s="312"/>
      <c r="M18" s="312">
        <f>'Sportovní hala'!W76</f>
        <v>172</v>
      </c>
      <c r="N18" s="313">
        <f>O18/(1+$O$14)</f>
        <v>14757.600000000002</v>
      </c>
      <c r="O18" s="312">
        <f>'Sportovní hala'!Z76</f>
        <v>16971.24</v>
      </c>
      <c r="P18" s="312"/>
      <c r="Q18" s="312">
        <v>0</v>
      </c>
      <c r="R18" s="315">
        <v>0</v>
      </c>
      <c r="T18" s="315">
        <f t="shared" si="0"/>
        <v>179906.38</v>
      </c>
      <c r="U18" s="312">
        <f t="shared" si="1"/>
        <v>209292.41319999998</v>
      </c>
    </row>
    <row r="19" spans="2:21" s="13" customFormat="1" ht="15">
      <c r="B19" s="316">
        <v>4</v>
      </c>
      <c r="C19" s="311" t="s">
        <v>271</v>
      </c>
      <c r="D19" s="317"/>
      <c r="E19" s="312">
        <v>0</v>
      </c>
      <c r="F19" s="313">
        <v>0</v>
      </c>
      <c r="G19" s="312">
        <f>F19*(1+$G$14)</f>
        <v>0</v>
      </c>
      <c r="H19" s="318"/>
      <c r="I19" s="319">
        <f>'Veřejné osvětlení'!L84/1000</f>
        <v>149.51693333333336</v>
      </c>
      <c r="J19" s="313">
        <f>K19/(1+$K$14)</f>
        <v>294841.12535734277</v>
      </c>
      <c r="K19" s="312">
        <f>'Veřejné osvětlení'!P84</f>
        <v>356757.7616823847</v>
      </c>
      <c r="L19" s="318"/>
      <c r="M19" s="312">
        <v>0</v>
      </c>
      <c r="N19" s="313">
        <f aca="true" t="shared" si="2" ref="N19">M19*(42.57+35.39)</f>
        <v>0</v>
      </c>
      <c r="O19" s="312">
        <f>N19*(1+$O$14)</f>
        <v>0</v>
      </c>
      <c r="P19" s="318"/>
      <c r="Q19" s="318">
        <v>0</v>
      </c>
      <c r="R19" s="320">
        <v>0</v>
      </c>
      <c r="T19" s="315">
        <f t="shared" si="0"/>
        <v>294841.12535734277</v>
      </c>
      <c r="U19" s="312">
        <f t="shared" si="1"/>
        <v>356757.7616823847</v>
      </c>
    </row>
    <row r="20" spans="3:22" s="18" customFormat="1" ht="15" customHeight="1">
      <c r="C20" s="323" t="s">
        <v>12</v>
      </c>
      <c r="D20" s="323"/>
      <c r="E20" s="322">
        <f>SUM(E16:E19)</f>
        <v>2874.5299999999997</v>
      </c>
      <c r="F20" s="322">
        <f>SUM(F16:F19)</f>
        <v>1078340.53</v>
      </c>
      <c r="G20" s="322">
        <f>SUM(G16:G19)</f>
        <v>1240091.6095</v>
      </c>
      <c r="H20" s="321"/>
      <c r="I20" s="325">
        <f>SUM(I16:I19)</f>
        <v>250.65743333333336</v>
      </c>
      <c r="J20" s="326">
        <f>SUM(J16:J19)</f>
        <v>749109.5453573428</v>
      </c>
      <c r="K20" s="326">
        <f>SUM(K16:K19)</f>
        <v>906422.5498823847</v>
      </c>
      <c r="L20" s="321"/>
      <c r="M20" s="327">
        <f>SUM(M16:M19)</f>
        <v>1771</v>
      </c>
      <c r="N20" s="327">
        <f>SUM(N16:N19)</f>
        <v>151951.80000000002</v>
      </c>
      <c r="O20" s="327">
        <f>SUM(O16:O19)</f>
        <v>174744.57</v>
      </c>
      <c r="P20" s="321"/>
      <c r="Q20" s="328"/>
      <c r="R20" s="328"/>
      <c r="S20" s="321"/>
      <c r="T20" s="329">
        <f>SUM(T16:T19)</f>
        <v>1979401.875357343</v>
      </c>
      <c r="U20" s="329">
        <f>SUM(U16:U19)</f>
        <v>2321258.729382385</v>
      </c>
      <c r="V20" s="321"/>
    </row>
    <row r="21" spans="2:18" ht="15">
      <c r="B21" s="165"/>
      <c r="D21" s="165"/>
      <c r="E21" s="165"/>
      <c r="F21" s="165"/>
      <c r="G21" s="576">
        <f>G20/F20</f>
        <v>1.15</v>
      </c>
      <c r="H21" s="165"/>
      <c r="I21" s="165"/>
      <c r="J21" s="165"/>
      <c r="K21" s="576">
        <f>K20/J20</f>
        <v>1.21</v>
      </c>
      <c r="L21" s="165"/>
      <c r="M21" s="165"/>
      <c r="N21" s="166"/>
      <c r="O21" s="576">
        <f>O20/N20</f>
        <v>1.15</v>
      </c>
      <c r="P21" s="165"/>
      <c r="Q21" s="165"/>
      <c r="R21" s="165"/>
    </row>
    <row r="22" spans="2:18" ht="15.75" customHeight="1">
      <c r="B22" s="253"/>
      <c r="C22" s="254" t="s">
        <v>116</v>
      </c>
      <c r="D22" s="255"/>
      <c r="E22" s="255"/>
      <c r="F22" s="255"/>
      <c r="G22" s="333" t="s">
        <v>6</v>
      </c>
      <c r="H22" s="257"/>
      <c r="I22" s="257"/>
      <c r="J22" s="257"/>
      <c r="K22" s="330" t="str">
        <f>I11</f>
        <v>ELEKTŘINA</v>
      </c>
      <c r="L22" s="257"/>
      <c r="M22" s="257"/>
      <c r="N22" s="257"/>
      <c r="O22" s="331" t="str">
        <f>M11</f>
        <v>VODA</v>
      </c>
      <c r="P22" s="255"/>
      <c r="Q22" s="256"/>
      <c r="R22" s="255"/>
    </row>
    <row r="23" spans="2:18" ht="15">
      <c r="B23" s="568"/>
      <c r="C23" s="569" t="s">
        <v>117</v>
      </c>
      <c r="D23" s="570"/>
      <c r="E23" s="571"/>
      <c r="F23" s="571"/>
      <c r="G23" s="563" t="s">
        <v>146</v>
      </c>
      <c r="H23" s="572"/>
      <c r="I23" s="572"/>
      <c r="J23" s="572"/>
      <c r="K23" s="573" t="s">
        <v>115</v>
      </c>
      <c r="L23" s="572"/>
      <c r="M23" s="572"/>
      <c r="N23" s="572"/>
      <c r="O23" s="574" t="s">
        <v>160</v>
      </c>
      <c r="P23" s="570"/>
      <c r="Q23" s="256"/>
      <c r="R23" s="255"/>
    </row>
    <row r="24" spans="2:18" ht="15">
      <c r="B24" s="564">
        <f>B16</f>
        <v>1</v>
      </c>
      <c r="C24" s="565" t="str">
        <f>C16</f>
        <v>ZŠ Masarykova</v>
      </c>
      <c r="D24" s="566"/>
      <c r="E24" s="567"/>
      <c r="F24" s="567"/>
      <c r="G24" s="575">
        <f>IF(G16&gt;0,G16/E16,0)</f>
        <v>419.4970005242245</v>
      </c>
      <c r="H24" s="577"/>
      <c r="I24" s="577"/>
      <c r="J24" s="577"/>
      <c r="K24" s="578">
        <f>IF(K16&gt;0,K16/I16,0)</f>
        <v>5444.193227107065</v>
      </c>
      <c r="L24" s="577"/>
      <c r="M24" s="577"/>
      <c r="N24" s="577"/>
      <c r="O24" s="578">
        <f>IF(O16&gt;0,O16/M16,0)</f>
        <v>98.67</v>
      </c>
      <c r="P24" s="567"/>
      <c r="Q24" s="308"/>
      <c r="R24" s="307"/>
    </row>
    <row r="25" spans="2:18" ht="15">
      <c r="B25" s="302">
        <v>2</v>
      </c>
      <c r="C25" s="303" t="str">
        <f>C17</f>
        <v>MŠ, ZUŠ, ZŠ č.p. 17</v>
      </c>
      <c r="D25" s="304"/>
      <c r="E25" s="305"/>
      <c r="F25" s="305"/>
      <c r="G25" s="575">
        <f>IF(G17&gt;0,G17/E17,0)</f>
        <v>425.31599496517055</v>
      </c>
      <c r="H25" s="332"/>
      <c r="I25" s="332"/>
      <c r="J25" s="332"/>
      <c r="K25" s="575">
        <f>IF(K17&gt;0,K17/I17,0)</f>
        <v>5691.4319605566925</v>
      </c>
      <c r="L25" s="332"/>
      <c r="M25" s="332"/>
      <c r="N25" s="332"/>
      <c r="O25" s="575">
        <f>IF(O17&gt;0,O17/M17,0)</f>
        <v>98.67</v>
      </c>
      <c r="P25" s="305"/>
      <c r="Q25" s="306"/>
      <c r="R25" s="305"/>
    </row>
    <row r="26" spans="2:18" ht="15">
      <c r="B26" s="302">
        <v>3</v>
      </c>
      <c r="C26" s="303" t="str">
        <f>C18</f>
        <v>Sportovní hala</v>
      </c>
      <c r="D26" s="304"/>
      <c r="E26" s="305"/>
      <c r="F26" s="305"/>
      <c r="G26" s="575">
        <f>IF(G18&gt;0,G18/E18,0)</f>
        <v>515.4530156513019</v>
      </c>
      <c r="H26" s="332"/>
      <c r="I26" s="332"/>
      <c r="J26" s="332"/>
      <c r="K26" s="575">
        <f>IF(K18&gt;0,K18/I18,0)</f>
        <v>4471.6866869918695</v>
      </c>
      <c r="L26" s="332"/>
      <c r="M26" s="332"/>
      <c r="N26" s="332"/>
      <c r="O26" s="575">
        <f>IF(O18&gt;0,O18/M18,0)</f>
        <v>98.67000000000002</v>
      </c>
      <c r="P26" s="305"/>
      <c r="Q26" s="306"/>
      <c r="R26" s="305"/>
    </row>
    <row r="27" spans="2:18" ht="15">
      <c r="B27" s="302">
        <v>4</v>
      </c>
      <c r="C27" s="303" t="str">
        <f>C19</f>
        <v>Veřejné osvětlení</v>
      </c>
      <c r="D27" s="304"/>
      <c r="E27" s="305"/>
      <c r="F27" s="305"/>
      <c r="G27" s="575"/>
      <c r="H27" s="332"/>
      <c r="I27" s="332"/>
      <c r="J27" s="332"/>
      <c r="K27" s="575">
        <f>IF(K19&gt;0,K19/I19,0)</f>
        <v>2386.0692814440504</v>
      </c>
      <c r="L27" s="332"/>
      <c r="M27" s="332"/>
      <c r="N27" s="332"/>
      <c r="O27" s="575"/>
      <c r="P27" s="305"/>
      <c r="Q27" s="306"/>
      <c r="R27" s="305"/>
    </row>
    <row r="28" spans="2:18" ht="15">
      <c r="B28" s="297"/>
      <c r="C28" s="298"/>
      <c r="D28" s="299"/>
      <c r="E28" s="300"/>
      <c r="F28" s="300"/>
      <c r="G28" s="579"/>
      <c r="H28" s="580"/>
      <c r="I28" s="580"/>
      <c r="J28" s="580"/>
      <c r="K28" s="579"/>
      <c r="L28" s="580"/>
      <c r="M28" s="580"/>
      <c r="N28" s="580"/>
      <c r="O28" s="579"/>
      <c r="P28" s="300"/>
      <c r="Q28" s="301"/>
      <c r="R28" s="300"/>
    </row>
    <row r="29" ht="15">
      <c r="B29" s="17"/>
    </row>
    <row r="30" spans="2:3" ht="15.75">
      <c r="B30" s="17"/>
      <c r="C30" s="2" t="s">
        <v>162</v>
      </c>
    </row>
    <row r="31" spans="2:10" ht="15">
      <c r="B31" s="159"/>
      <c r="C31" s="259"/>
      <c r="D31" s="178" t="s">
        <v>273</v>
      </c>
      <c r="G31" s="167"/>
      <c r="I31" s="14"/>
      <c r="J31" s="14"/>
    </row>
    <row r="32" spans="3:10" ht="15">
      <c r="C32" s="163" t="s">
        <v>88</v>
      </c>
      <c r="D32" s="168" t="s">
        <v>274</v>
      </c>
      <c r="E32" s="169"/>
      <c r="I32" s="14"/>
      <c r="J32" s="14"/>
    </row>
    <row r="33" spans="3:10" ht="15">
      <c r="C33" s="163" t="s">
        <v>89</v>
      </c>
      <c r="D33" s="251">
        <v>20</v>
      </c>
      <c r="E33" s="251" t="s">
        <v>90</v>
      </c>
      <c r="I33" s="14"/>
      <c r="J33" s="14"/>
    </row>
    <row r="34" spans="9:10" ht="3.75" customHeight="1">
      <c r="I34" s="14"/>
      <c r="J34" s="14"/>
    </row>
    <row r="35" spans="3:10" ht="15">
      <c r="C35" s="353" t="s">
        <v>163</v>
      </c>
      <c r="D35" s="170" t="s">
        <v>91</v>
      </c>
      <c r="E35" s="170" t="s">
        <v>92</v>
      </c>
      <c r="F35" s="171" t="s">
        <v>58</v>
      </c>
      <c r="G35" s="171" t="s">
        <v>93</v>
      </c>
      <c r="I35" s="14"/>
      <c r="J35" s="14"/>
    </row>
    <row r="36" spans="3:10" ht="15">
      <c r="C36" s="351" t="s">
        <v>147</v>
      </c>
      <c r="D36" s="346">
        <v>-0.8</v>
      </c>
      <c r="E36" s="347">
        <v>31</v>
      </c>
      <c r="F36" s="342">
        <f aca="true" t="shared" si="3" ref="F36:F47">E36*($D$33-D36)</f>
        <v>644.8000000000001</v>
      </c>
      <c r="G36" s="172">
        <f aca="true" t="shared" si="4" ref="G36:G47">IF(F36=0,0,F36/$F$48)</f>
        <v>0.1935057919692696</v>
      </c>
      <c r="I36" s="14"/>
      <c r="J36" s="14"/>
    </row>
    <row r="37" spans="3:10" ht="15">
      <c r="C37" s="351" t="s">
        <v>148</v>
      </c>
      <c r="D37" s="346">
        <v>2.6</v>
      </c>
      <c r="E37" s="347">
        <v>28</v>
      </c>
      <c r="F37" s="343">
        <f t="shared" si="3"/>
        <v>487.19999999999993</v>
      </c>
      <c r="G37" s="173">
        <f t="shared" si="4"/>
        <v>0.14620971130184263</v>
      </c>
      <c r="I37" s="14"/>
      <c r="J37" s="14"/>
    </row>
    <row r="38" spans="3:7" ht="15">
      <c r="C38" s="351" t="s">
        <v>149</v>
      </c>
      <c r="D38" s="346">
        <v>6.2</v>
      </c>
      <c r="E38" s="347">
        <v>31</v>
      </c>
      <c r="F38" s="343">
        <f t="shared" si="3"/>
        <v>427.8</v>
      </c>
      <c r="G38" s="173">
        <f t="shared" si="4"/>
        <v>0.12838365044115</v>
      </c>
    </row>
    <row r="39" spans="3:10" ht="15">
      <c r="C39" s="351" t="s">
        <v>150</v>
      </c>
      <c r="D39" s="346">
        <v>10.4</v>
      </c>
      <c r="E39" s="347">
        <v>23</v>
      </c>
      <c r="F39" s="343">
        <f t="shared" si="3"/>
        <v>220.79999999999998</v>
      </c>
      <c r="G39" s="173">
        <f t="shared" si="4"/>
        <v>0.06626252925994838</v>
      </c>
      <c r="I39" s="162"/>
      <c r="J39" s="162"/>
    </row>
    <row r="40" spans="3:7" ht="15">
      <c r="C40" s="351" t="s">
        <v>151</v>
      </c>
      <c r="D40" s="346">
        <v>10.6</v>
      </c>
      <c r="E40" s="347">
        <v>27</v>
      </c>
      <c r="F40" s="343">
        <f t="shared" si="3"/>
        <v>253.8</v>
      </c>
      <c r="G40" s="173">
        <f t="shared" si="4"/>
        <v>0.07616589640477764</v>
      </c>
    </row>
    <row r="41" spans="3:10" ht="15">
      <c r="C41" s="351" t="s">
        <v>152</v>
      </c>
      <c r="D41" s="348">
        <v>21.2</v>
      </c>
      <c r="E41" s="347">
        <v>0</v>
      </c>
      <c r="F41" s="343">
        <f t="shared" si="3"/>
        <v>0</v>
      </c>
      <c r="G41" s="173">
        <f t="shared" si="4"/>
        <v>0</v>
      </c>
      <c r="J41" s="14"/>
    </row>
    <row r="42" spans="3:7" ht="15">
      <c r="C42" s="351" t="s">
        <v>153</v>
      </c>
      <c r="D42" s="348">
        <v>19.4</v>
      </c>
      <c r="E42" s="347">
        <v>0</v>
      </c>
      <c r="F42" s="343">
        <f t="shared" si="3"/>
        <v>0</v>
      </c>
      <c r="G42" s="173">
        <f t="shared" si="4"/>
        <v>0</v>
      </c>
    </row>
    <row r="43" spans="3:10" ht="15">
      <c r="C43" s="351" t="s">
        <v>154</v>
      </c>
      <c r="D43" s="348">
        <v>19.4</v>
      </c>
      <c r="E43" s="347">
        <v>0</v>
      </c>
      <c r="F43" s="343">
        <f t="shared" si="3"/>
        <v>0</v>
      </c>
      <c r="G43" s="173">
        <f t="shared" si="4"/>
        <v>0</v>
      </c>
      <c r="J43" s="14"/>
    </row>
    <row r="44" spans="3:10" ht="15">
      <c r="C44" s="351" t="s">
        <v>155</v>
      </c>
      <c r="D44" s="346">
        <v>14</v>
      </c>
      <c r="E44" s="347">
        <v>7</v>
      </c>
      <c r="F44" s="343">
        <f t="shared" si="3"/>
        <v>42</v>
      </c>
      <c r="G44" s="173">
        <f t="shared" si="4"/>
        <v>0.0126042854570554</v>
      </c>
      <c r="J44" s="14"/>
    </row>
    <row r="45" spans="3:7" ht="15">
      <c r="C45" s="351" t="s">
        <v>156</v>
      </c>
      <c r="D45" s="346">
        <v>10</v>
      </c>
      <c r="E45" s="347">
        <v>26</v>
      </c>
      <c r="F45" s="343">
        <f t="shared" si="3"/>
        <v>260</v>
      </c>
      <c r="G45" s="173">
        <f t="shared" si="4"/>
        <v>0.07802652901986676</v>
      </c>
    </row>
    <row r="46" spans="3:7" ht="15">
      <c r="C46" s="351" t="s">
        <v>157</v>
      </c>
      <c r="D46" s="346">
        <v>5.2</v>
      </c>
      <c r="E46" s="347">
        <v>30</v>
      </c>
      <c r="F46" s="343">
        <f t="shared" si="3"/>
        <v>444</v>
      </c>
      <c r="G46" s="173">
        <f t="shared" si="4"/>
        <v>0.13324530340315707</v>
      </c>
    </row>
    <row r="47" spans="3:7" ht="15">
      <c r="C47" s="352" t="s">
        <v>158</v>
      </c>
      <c r="D47" s="349">
        <v>2.2</v>
      </c>
      <c r="E47" s="350">
        <v>31</v>
      </c>
      <c r="F47" s="344">
        <f t="shared" si="3"/>
        <v>551.8000000000001</v>
      </c>
      <c r="G47" s="174">
        <f t="shared" si="4"/>
        <v>0.16559630274293263</v>
      </c>
    </row>
    <row r="48" spans="4:7" ht="15">
      <c r="D48" s="177">
        <f>SUMPRODUCT(D36:D47,E36:E47)/E48</f>
        <v>5.75982905982906</v>
      </c>
      <c r="E48" s="175">
        <f aca="true" t="shared" si="5" ref="E48">SUM(E36:E47)</f>
        <v>234</v>
      </c>
      <c r="F48" s="345">
        <f>SUM(F36:F47)</f>
        <v>3332.2</v>
      </c>
      <c r="G48" s="176">
        <f>SUM(G36:G47)</f>
        <v>1</v>
      </c>
    </row>
    <row r="49" spans="3:4" ht="15">
      <c r="C49" s="103"/>
      <c r="D49" s="164"/>
    </row>
  </sheetData>
  <mergeCells count="9">
    <mergeCell ref="T11:U12"/>
    <mergeCell ref="F12:G12"/>
    <mergeCell ref="E11:G11"/>
    <mergeCell ref="Q11:R11"/>
    <mergeCell ref="Q12:R12"/>
    <mergeCell ref="M11:O11"/>
    <mergeCell ref="N12:O12"/>
    <mergeCell ref="I11:K11"/>
    <mergeCell ref="J12:K12"/>
  </mergeCells>
  <conditionalFormatting sqref="L16:N16 P16:R16 F17:G18 E16:H16 I16:J17 I19:J19 N17:N19">
    <cfRule type="cellIs" priority="130" dxfId="324" operator="equal">
      <formula>0</formula>
    </cfRule>
  </conditionalFormatting>
  <conditionalFormatting sqref="U16:U19">
    <cfRule type="cellIs" priority="114" dxfId="324" operator="equal">
      <formula>0</formula>
    </cfRule>
  </conditionalFormatting>
  <conditionalFormatting sqref="T16:T19">
    <cfRule type="cellIs" priority="113" dxfId="324" operator="equal">
      <formula>0</formula>
    </cfRule>
  </conditionalFormatting>
  <conditionalFormatting sqref="E17 H17 P17:R17 L17:M17">
    <cfRule type="cellIs" priority="111" dxfId="324" operator="equal">
      <formula>0</formula>
    </cfRule>
  </conditionalFormatting>
  <conditionalFormatting sqref="E18 H18 P18:R18 L18:M18">
    <cfRule type="cellIs" priority="107" dxfId="324" operator="equal">
      <formula>0</formula>
    </cfRule>
  </conditionalFormatting>
  <conditionalFormatting sqref="L19 H19 P19:R19">
    <cfRule type="cellIs" priority="103" dxfId="324" operator="equal">
      <formula>0</formula>
    </cfRule>
  </conditionalFormatting>
  <conditionalFormatting sqref="K16:K19">
    <cfRule type="cellIs" priority="63" dxfId="324" operator="equal">
      <formula>0</formula>
    </cfRule>
  </conditionalFormatting>
  <conditionalFormatting sqref="O16:O19">
    <cfRule type="cellIs" priority="62" dxfId="324" operator="equal">
      <formula>0</formula>
    </cfRule>
  </conditionalFormatting>
  <conditionalFormatting sqref="I18">
    <cfRule type="cellIs" priority="6" dxfId="324" operator="equal">
      <formula>0</formula>
    </cfRule>
  </conditionalFormatting>
  <conditionalFormatting sqref="E19:G19">
    <cfRule type="cellIs" priority="5" dxfId="324" operator="equal">
      <formula>0</formula>
    </cfRule>
  </conditionalFormatting>
  <conditionalFormatting sqref="M19">
    <cfRule type="cellIs" priority="2" dxfId="324" operator="equal">
      <formula>0</formula>
    </cfRule>
  </conditionalFormatting>
  <conditionalFormatting sqref="J18">
    <cfRule type="cellIs" priority="1" dxfId="324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2:BO80"/>
  <sheetViews>
    <sheetView zoomScale="55" zoomScaleNormal="55" workbookViewId="0" topLeftCell="A1">
      <pane xSplit="3" ySplit="20" topLeftCell="D30" activePane="bottomRight" state="frozen"/>
      <selection pane="topLeft" activeCell="Z86" sqref="Z86"/>
      <selection pane="topRight" activeCell="Z86" sqref="Z86"/>
      <selection pane="bottomLeft" activeCell="Z86" sqref="Z86"/>
      <selection pane="bottomRight" activeCell="BG79" sqref="BG79"/>
    </sheetView>
  </sheetViews>
  <sheetFormatPr defaultColWidth="10.140625" defaultRowHeight="15" outlineLevelRow="1" outlineLevelCol="1"/>
  <cols>
    <col min="1" max="1" width="0.9921875" style="357" customWidth="1"/>
    <col min="2" max="2" width="7.57421875" style="357" customWidth="1"/>
    <col min="3" max="3" width="9.8515625" style="357" customWidth="1"/>
    <col min="4" max="4" width="5.00390625" style="358" customWidth="1"/>
    <col min="5" max="5" width="3.7109375" style="359" customWidth="1"/>
    <col min="6" max="9" width="11.57421875" style="357" customWidth="1"/>
    <col min="10" max="10" width="3.7109375" style="359" customWidth="1"/>
    <col min="11" max="12" width="10.140625" style="357" hidden="1" customWidth="1" outlineLevel="1"/>
    <col min="13" max="15" width="11.7109375" style="360" hidden="1" customWidth="1" outlineLevel="1"/>
    <col min="16" max="16" width="3.7109375" style="359" hidden="1" customWidth="1" outlineLevel="1"/>
    <col min="17" max="17" width="12.7109375" style="361" customWidth="1" collapsed="1"/>
    <col min="18" max="19" width="12.7109375" style="361" customWidth="1"/>
    <col min="20" max="21" width="12.00390625" style="360" customWidth="1"/>
    <col min="22" max="22" width="3.7109375" style="357" customWidth="1"/>
    <col min="23" max="23" width="12.7109375" style="361" customWidth="1" collapsed="1"/>
    <col min="24" max="25" width="12.7109375" style="361" customWidth="1"/>
    <col min="26" max="27" width="12.00390625" style="360" customWidth="1"/>
    <col min="28" max="28" width="3.7109375" style="357" customWidth="1"/>
    <col min="29" max="29" width="12.7109375" style="361" customWidth="1" collapsed="1"/>
    <col min="30" max="31" width="12.7109375" style="361" customWidth="1"/>
    <col min="32" max="33" width="12.00390625" style="360" customWidth="1"/>
    <col min="34" max="34" width="3.7109375" style="357" customWidth="1"/>
    <col min="35" max="35" width="12.7109375" style="361" customWidth="1" collapsed="1"/>
    <col min="36" max="37" width="12.7109375" style="361" customWidth="1"/>
    <col min="38" max="39" width="12.00390625" style="360" customWidth="1"/>
    <col min="40" max="40" width="3.7109375" style="357" customWidth="1"/>
    <col min="41" max="41" width="12.7109375" style="361" customWidth="1" collapsed="1"/>
    <col min="42" max="43" width="12.7109375" style="361" customWidth="1"/>
    <col min="44" max="45" width="12.00390625" style="360" customWidth="1"/>
    <col min="46" max="46" width="3.7109375" style="357" customWidth="1"/>
    <col min="47" max="47" width="12.7109375" style="361" customWidth="1" collapsed="1"/>
    <col min="48" max="49" width="12.7109375" style="361" customWidth="1"/>
    <col min="50" max="51" width="12.00390625" style="360" customWidth="1"/>
    <col min="52" max="52" width="3.7109375" style="357" customWidth="1"/>
    <col min="53" max="53" width="12.7109375" style="361" customWidth="1" collapsed="1"/>
    <col min="54" max="55" width="12.7109375" style="361" customWidth="1"/>
    <col min="56" max="57" width="12.00390625" style="360" customWidth="1"/>
    <col min="58" max="58" width="3.7109375" style="357" customWidth="1"/>
    <col min="59" max="59" width="14.00390625" style="357" customWidth="1"/>
    <col min="60" max="61" width="7.7109375" style="357" customWidth="1"/>
    <col min="62" max="62" width="14.00390625" style="357" customWidth="1"/>
    <col min="63" max="63" width="3.7109375" style="357" customWidth="1"/>
    <col min="64" max="64" width="14.00390625" style="357" customWidth="1"/>
    <col min="65" max="66" width="7.7109375" style="357" customWidth="1"/>
    <col min="67" max="67" width="14.00390625" style="357" customWidth="1"/>
    <col min="68" max="253" width="10.140625" style="357" customWidth="1"/>
    <col min="254" max="266" width="14.00390625" style="357" customWidth="1"/>
    <col min="267" max="509" width="10.140625" style="357" customWidth="1"/>
    <col min="510" max="522" width="14.00390625" style="357" customWidth="1"/>
    <col min="523" max="765" width="10.140625" style="357" customWidth="1"/>
    <col min="766" max="778" width="14.00390625" style="357" customWidth="1"/>
    <col min="779" max="1021" width="10.140625" style="357" customWidth="1"/>
    <col min="1022" max="1034" width="14.00390625" style="357" customWidth="1"/>
    <col min="1035" max="1277" width="10.140625" style="357" customWidth="1"/>
    <col min="1278" max="1290" width="14.00390625" style="357" customWidth="1"/>
    <col min="1291" max="1533" width="10.140625" style="357" customWidth="1"/>
    <col min="1534" max="1546" width="14.00390625" style="357" customWidth="1"/>
    <col min="1547" max="1789" width="10.140625" style="357" customWidth="1"/>
    <col min="1790" max="1802" width="14.00390625" style="357" customWidth="1"/>
    <col min="1803" max="2045" width="10.140625" style="357" customWidth="1"/>
    <col min="2046" max="2058" width="14.00390625" style="357" customWidth="1"/>
    <col min="2059" max="2301" width="10.140625" style="357" customWidth="1"/>
    <col min="2302" max="2314" width="14.00390625" style="357" customWidth="1"/>
    <col min="2315" max="2557" width="10.140625" style="357" customWidth="1"/>
    <col min="2558" max="2570" width="14.00390625" style="357" customWidth="1"/>
    <col min="2571" max="2813" width="10.140625" style="357" customWidth="1"/>
    <col min="2814" max="2826" width="14.00390625" style="357" customWidth="1"/>
    <col min="2827" max="3069" width="10.140625" style="357" customWidth="1"/>
    <col min="3070" max="3082" width="14.00390625" style="357" customWidth="1"/>
    <col min="3083" max="3325" width="10.140625" style="357" customWidth="1"/>
    <col min="3326" max="3338" width="14.00390625" style="357" customWidth="1"/>
    <col min="3339" max="3581" width="10.140625" style="357" customWidth="1"/>
    <col min="3582" max="3594" width="14.00390625" style="357" customWidth="1"/>
    <col min="3595" max="3837" width="10.140625" style="357" customWidth="1"/>
    <col min="3838" max="3850" width="14.00390625" style="357" customWidth="1"/>
    <col min="3851" max="4093" width="10.140625" style="357" customWidth="1"/>
    <col min="4094" max="4106" width="14.00390625" style="357" customWidth="1"/>
    <col min="4107" max="4349" width="10.140625" style="357" customWidth="1"/>
    <col min="4350" max="4362" width="14.00390625" style="357" customWidth="1"/>
    <col min="4363" max="4605" width="10.140625" style="357" customWidth="1"/>
    <col min="4606" max="4618" width="14.00390625" style="357" customWidth="1"/>
    <col min="4619" max="4861" width="10.140625" style="357" customWidth="1"/>
    <col min="4862" max="4874" width="14.00390625" style="357" customWidth="1"/>
    <col min="4875" max="5117" width="10.140625" style="357" customWidth="1"/>
    <col min="5118" max="5130" width="14.00390625" style="357" customWidth="1"/>
    <col min="5131" max="5373" width="10.140625" style="357" customWidth="1"/>
    <col min="5374" max="5386" width="14.00390625" style="357" customWidth="1"/>
    <col min="5387" max="5629" width="10.140625" style="357" customWidth="1"/>
    <col min="5630" max="5642" width="14.00390625" style="357" customWidth="1"/>
    <col min="5643" max="5885" width="10.140625" style="357" customWidth="1"/>
    <col min="5886" max="5898" width="14.00390625" style="357" customWidth="1"/>
    <col min="5899" max="6141" width="10.140625" style="357" customWidth="1"/>
    <col min="6142" max="6154" width="14.00390625" style="357" customWidth="1"/>
    <col min="6155" max="6397" width="10.140625" style="357" customWidth="1"/>
    <col min="6398" max="6410" width="14.00390625" style="357" customWidth="1"/>
    <col min="6411" max="6653" width="10.140625" style="357" customWidth="1"/>
    <col min="6654" max="6666" width="14.00390625" style="357" customWidth="1"/>
    <col min="6667" max="6909" width="10.140625" style="357" customWidth="1"/>
    <col min="6910" max="6922" width="14.00390625" style="357" customWidth="1"/>
    <col min="6923" max="7165" width="10.140625" style="357" customWidth="1"/>
    <col min="7166" max="7178" width="14.00390625" style="357" customWidth="1"/>
    <col min="7179" max="7421" width="10.140625" style="357" customWidth="1"/>
    <col min="7422" max="7434" width="14.00390625" style="357" customWidth="1"/>
    <col min="7435" max="7677" width="10.140625" style="357" customWidth="1"/>
    <col min="7678" max="7690" width="14.00390625" style="357" customWidth="1"/>
    <col min="7691" max="7933" width="10.140625" style="357" customWidth="1"/>
    <col min="7934" max="7946" width="14.00390625" style="357" customWidth="1"/>
    <col min="7947" max="8189" width="10.140625" style="357" customWidth="1"/>
    <col min="8190" max="8202" width="14.00390625" style="357" customWidth="1"/>
    <col min="8203" max="8445" width="10.140625" style="357" customWidth="1"/>
    <col min="8446" max="8458" width="14.00390625" style="357" customWidth="1"/>
    <col min="8459" max="8701" width="10.140625" style="357" customWidth="1"/>
    <col min="8702" max="8714" width="14.00390625" style="357" customWidth="1"/>
    <col min="8715" max="8957" width="10.140625" style="357" customWidth="1"/>
    <col min="8958" max="8970" width="14.00390625" style="357" customWidth="1"/>
    <col min="8971" max="9213" width="10.140625" style="357" customWidth="1"/>
    <col min="9214" max="9226" width="14.00390625" style="357" customWidth="1"/>
    <col min="9227" max="9469" width="10.140625" style="357" customWidth="1"/>
    <col min="9470" max="9482" width="14.00390625" style="357" customWidth="1"/>
    <col min="9483" max="9725" width="10.140625" style="357" customWidth="1"/>
    <col min="9726" max="9738" width="14.00390625" style="357" customWidth="1"/>
    <col min="9739" max="9981" width="10.140625" style="357" customWidth="1"/>
    <col min="9982" max="9994" width="14.00390625" style="357" customWidth="1"/>
    <col min="9995" max="10237" width="10.140625" style="357" customWidth="1"/>
    <col min="10238" max="10250" width="14.00390625" style="357" customWidth="1"/>
    <col min="10251" max="10493" width="10.140625" style="357" customWidth="1"/>
    <col min="10494" max="10506" width="14.00390625" style="357" customWidth="1"/>
    <col min="10507" max="10749" width="10.140625" style="357" customWidth="1"/>
    <col min="10750" max="10762" width="14.00390625" style="357" customWidth="1"/>
    <col min="10763" max="11005" width="10.140625" style="357" customWidth="1"/>
    <col min="11006" max="11018" width="14.00390625" style="357" customWidth="1"/>
    <col min="11019" max="11261" width="10.140625" style="357" customWidth="1"/>
    <col min="11262" max="11274" width="14.00390625" style="357" customWidth="1"/>
    <col min="11275" max="11517" width="10.140625" style="357" customWidth="1"/>
    <col min="11518" max="11530" width="14.00390625" style="357" customWidth="1"/>
    <col min="11531" max="11773" width="10.140625" style="357" customWidth="1"/>
    <col min="11774" max="11786" width="14.00390625" style="357" customWidth="1"/>
    <col min="11787" max="12029" width="10.140625" style="357" customWidth="1"/>
    <col min="12030" max="12042" width="14.00390625" style="357" customWidth="1"/>
    <col min="12043" max="12285" width="10.140625" style="357" customWidth="1"/>
    <col min="12286" max="12298" width="14.00390625" style="357" customWidth="1"/>
    <col min="12299" max="12541" width="10.140625" style="357" customWidth="1"/>
    <col min="12542" max="12554" width="14.00390625" style="357" customWidth="1"/>
    <col min="12555" max="12797" width="10.140625" style="357" customWidth="1"/>
    <col min="12798" max="12810" width="14.00390625" style="357" customWidth="1"/>
    <col min="12811" max="13053" width="10.140625" style="357" customWidth="1"/>
    <col min="13054" max="13066" width="14.00390625" style="357" customWidth="1"/>
    <col min="13067" max="13309" width="10.140625" style="357" customWidth="1"/>
    <col min="13310" max="13322" width="14.00390625" style="357" customWidth="1"/>
    <col min="13323" max="13565" width="10.140625" style="357" customWidth="1"/>
    <col min="13566" max="13578" width="14.00390625" style="357" customWidth="1"/>
    <col min="13579" max="13821" width="10.140625" style="357" customWidth="1"/>
    <col min="13822" max="13834" width="14.00390625" style="357" customWidth="1"/>
    <col min="13835" max="14077" width="10.140625" style="357" customWidth="1"/>
    <col min="14078" max="14090" width="14.00390625" style="357" customWidth="1"/>
    <col min="14091" max="14333" width="10.140625" style="357" customWidth="1"/>
    <col min="14334" max="14346" width="14.00390625" style="357" customWidth="1"/>
    <col min="14347" max="14589" width="10.140625" style="357" customWidth="1"/>
    <col min="14590" max="14602" width="14.00390625" style="357" customWidth="1"/>
    <col min="14603" max="14845" width="10.140625" style="357" customWidth="1"/>
    <col min="14846" max="14858" width="14.00390625" style="357" customWidth="1"/>
    <col min="14859" max="15101" width="10.140625" style="357" customWidth="1"/>
    <col min="15102" max="15114" width="14.00390625" style="357" customWidth="1"/>
    <col min="15115" max="15357" width="10.140625" style="357" customWidth="1"/>
    <col min="15358" max="15370" width="14.00390625" style="357" customWidth="1"/>
    <col min="15371" max="15613" width="10.140625" style="357" customWidth="1"/>
    <col min="15614" max="15626" width="14.00390625" style="357" customWidth="1"/>
    <col min="15627" max="15869" width="10.140625" style="357" customWidth="1"/>
    <col min="15870" max="15882" width="14.00390625" style="357" customWidth="1"/>
    <col min="15883" max="16125" width="10.140625" style="357" customWidth="1"/>
    <col min="16126" max="16138" width="14.00390625" style="357" customWidth="1"/>
    <col min="16139" max="16384" width="10.140625" style="357" customWidth="1"/>
  </cols>
  <sheetData>
    <row r="1" ht="4.5" customHeight="1"/>
    <row r="2" spans="2:67" ht="15" customHeight="1">
      <c r="B2" s="362"/>
      <c r="C2" s="363"/>
      <c r="D2" s="363"/>
      <c r="E2" s="357"/>
      <c r="F2" s="662" t="s">
        <v>6</v>
      </c>
      <c r="G2" s="662"/>
      <c r="H2" s="356"/>
      <c r="I2" s="356"/>
      <c r="J2" s="357"/>
      <c r="K2" s="733" t="s">
        <v>144</v>
      </c>
      <c r="L2" s="733"/>
      <c r="M2" s="733"/>
      <c r="N2" s="364"/>
      <c r="O2" s="364"/>
      <c r="P2" s="357"/>
      <c r="Q2" s="730" t="s">
        <v>3</v>
      </c>
      <c r="R2" s="730"/>
      <c r="S2" s="730"/>
      <c r="T2" s="730"/>
      <c r="U2" s="365"/>
      <c r="W2" s="730" t="s">
        <v>3</v>
      </c>
      <c r="X2" s="730"/>
      <c r="Y2" s="730"/>
      <c r="Z2" s="730"/>
      <c r="AA2" s="365"/>
      <c r="AC2" s="730" t="s">
        <v>3</v>
      </c>
      <c r="AD2" s="730"/>
      <c r="AE2" s="730"/>
      <c r="AF2" s="730"/>
      <c r="AG2" s="365"/>
      <c r="AI2" s="730" t="s">
        <v>3</v>
      </c>
      <c r="AJ2" s="730"/>
      <c r="AK2" s="730"/>
      <c r="AL2" s="730"/>
      <c r="AM2" s="365"/>
      <c r="AO2" s="730" t="s">
        <v>3</v>
      </c>
      <c r="AP2" s="730"/>
      <c r="AQ2" s="730"/>
      <c r="AR2" s="730"/>
      <c r="AS2" s="365"/>
      <c r="AU2" s="730" t="s">
        <v>3</v>
      </c>
      <c r="AV2" s="730"/>
      <c r="AW2" s="730"/>
      <c r="AX2" s="730"/>
      <c r="AY2" s="365"/>
      <c r="BA2" s="730" t="s">
        <v>3</v>
      </c>
      <c r="BB2" s="730"/>
      <c r="BC2" s="730"/>
      <c r="BD2" s="730"/>
      <c r="BE2" s="365"/>
      <c r="BG2" s="665" t="s">
        <v>7</v>
      </c>
      <c r="BH2" s="665"/>
      <c r="BI2" s="665"/>
      <c r="BJ2" s="665"/>
      <c r="BL2" s="731" t="s">
        <v>7</v>
      </c>
      <c r="BM2" s="731"/>
      <c r="BN2" s="731"/>
      <c r="BO2" s="731"/>
    </row>
    <row r="3" spans="2:67" ht="15" customHeight="1">
      <c r="B3" s="362"/>
      <c r="C3" s="363"/>
      <c r="D3" s="363"/>
      <c r="E3" s="357"/>
      <c r="F3" s="366" t="s">
        <v>166</v>
      </c>
      <c r="G3" s="366"/>
      <c r="H3" s="367"/>
      <c r="I3" s="367"/>
      <c r="J3" s="357"/>
      <c r="K3" s="732" t="s">
        <v>167</v>
      </c>
      <c r="L3" s="732"/>
      <c r="M3" s="732"/>
      <c r="N3" s="368"/>
      <c r="O3" s="368"/>
      <c r="P3" s="357"/>
      <c r="Q3" s="728" t="s">
        <v>168</v>
      </c>
      <c r="R3" s="728"/>
      <c r="S3" s="728"/>
      <c r="T3" s="728"/>
      <c r="U3" s="369"/>
      <c r="W3" s="728" t="s">
        <v>169</v>
      </c>
      <c r="X3" s="728"/>
      <c r="Y3" s="728"/>
      <c r="Z3" s="728"/>
      <c r="AA3" s="369"/>
      <c r="AC3" s="728" t="s">
        <v>170</v>
      </c>
      <c r="AD3" s="728"/>
      <c r="AE3" s="728"/>
      <c r="AF3" s="728"/>
      <c r="AG3" s="369"/>
      <c r="AI3" s="728" t="s">
        <v>171</v>
      </c>
      <c r="AJ3" s="728"/>
      <c r="AK3" s="728"/>
      <c r="AL3" s="728"/>
      <c r="AM3" s="369"/>
      <c r="AO3" s="728" t="s">
        <v>172</v>
      </c>
      <c r="AP3" s="728"/>
      <c r="AQ3" s="728"/>
      <c r="AR3" s="728"/>
      <c r="AS3" s="369"/>
      <c r="AU3" s="728" t="s">
        <v>173</v>
      </c>
      <c r="AV3" s="728"/>
      <c r="AW3" s="728"/>
      <c r="AX3" s="728"/>
      <c r="AY3" s="369"/>
      <c r="BA3" s="728" t="s">
        <v>174</v>
      </c>
      <c r="BB3" s="728"/>
      <c r="BC3" s="728"/>
      <c r="BD3" s="728"/>
      <c r="BE3" s="369"/>
      <c r="BG3" s="666" t="s">
        <v>175</v>
      </c>
      <c r="BH3" s="666"/>
      <c r="BI3" s="666"/>
      <c r="BJ3" s="666"/>
      <c r="BL3" s="729" t="s">
        <v>176</v>
      </c>
      <c r="BM3" s="729"/>
      <c r="BN3" s="729"/>
      <c r="BO3" s="729"/>
    </row>
    <row r="4" spans="2:67" ht="15" customHeight="1">
      <c r="B4" s="362"/>
      <c r="C4" s="363"/>
      <c r="D4" s="363"/>
      <c r="E4" s="357"/>
      <c r="F4" s="367"/>
      <c r="G4" s="367"/>
      <c r="H4" s="367"/>
      <c r="I4" s="367"/>
      <c r="J4" s="357"/>
      <c r="K4" s="368"/>
      <c r="L4" s="368"/>
      <c r="M4" s="368"/>
      <c r="N4" s="368"/>
      <c r="O4" s="368"/>
      <c r="P4" s="357"/>
      <c r="Q4" s="725" t="s">
        <v>177</v>
      </c>
      <c r="R4" s="725"/>
      <c r="S4" s="725"/>
      <c r="T4" s="725"/>
      <c r="U4" s="725"/>
      <c r="V4" s="309"/>
      <c r="W4" s="725" t="s">
        <v>178</v>
      </c>
      <c r="X4" s="725"/>
      <c r="Y4" s="725"/>
      <c r="Z4" s="725"/>
      <c r="AA4" s="725"/>
      <c r="AB4" s="309"/>
      <c r="AC4" s="725" t="s">
        <v>179</v>
      </c>
      <c r="AD4" s="725"/>
      <c r="AE4" s="725"/>
      <c r="AF4" s="725"/>
      <c r="AG4" s="725"/>
      <c r="AH4" s="309"/>
      <c r="AI4" s="725" t="s">
        <v>180</v>
      </c>
      <c r="AJ4" s="725"/>
      <c r="AK4" s="725"/>
      <c r="AL4" s="725"/>
      <c r="AM4" s="725"/>
      <c r="AN4" s="309"/>
      <c r="AO4" s="725" t="s">
        <v>181</v>
      </c>
      <c r="AP4" s="725"/>
      <c r="AQ4" s="725"/>
      <c r="AR4" s="725"/>
      <c r="AS4" s="725"/>
      <c r="AT4" s="309"/>
      <c r="AU4" s="725" t="s">
        <v>182</v>
      </c>
      <c r="AV4" s="725"/>
      <c r="AW4" s="725"/>
      <c r="AX4" s="725"/>
      <c r="AY4" s="725"/>
      <c r="AZ4" s="309"/>
      <c r="BA4" s="725" t="s">
        <v>183</v>
      </c>
      <c r="BB4" s="725"/>
      <c r="BC4" s="725"/>
      <c r="BD4" s="725"/>
      <c r="BE4" s="725"/>
      <c r="BG4" s="5"/>
      <c r="BH4" s="5"/>
      <c r="BI4" s="5"/>
      <c r="BJ4" s="5"/>
      <c r="BL4" s="370"/>
      <c r="BM4" s="370"/>
      <c r="BN4" s="370"/>
      <c r="BO4" s="370"/>
    </row>
    <row r="5" spans="2:67" ht="15" customHeight="1">
      <c r="B5" s="726"/>
      <c r="C5" s="363"/>
      <c r="D5" s="363"/>
      <c r="E5" s="357"/>
      <c r="F5" s="324" t="s">
        <v>0</v>
      </c>
      <c r="G5" s="324" t="s">
        <v>4</v>
      </c>
      <c r="H5" s="324" t="s">
        <v>5</v>
      </c>
      <c r="I5" s="324" t="s">
        <v>184</v>
      </c>
      <c r="J5" s="357"/>
      <c r="K5" s="371" t="s">
        <v>185</v>
      </c>
      <c r="L5" s="371" t="s">
        <v>8</v>
      </c>
      <c r="M5" s="372" t="s">
        <v>4</v>
      </c>
      <c r="N5" s="372" t="s">
        <v>5</v>
      </c>
      <c r="O5" s="372" t="s">
        <v>115</v>
      </c>
      <c r="P5" s="357"/>
      <c r="Q5" s="373" t="s">
        <v>186</v>
      </c>
      <c r="R5" s="373" t="s">
        <v>187</v>
      </c>
      <c r="S5" s="373" t="s">
        <v>188</v>
      </c>
      <c r="T5" s="374" t="s">
        <v>4</v>
      </c>
      <c r="U5" s="374" t="s">
        <v>5</v>
      </c>
      <c r="W5" s="373" t="s">
        <v>186</v>
      </c>
      <c r="X5" s="373" t="s">
        <v>187</v>
      </c>
      <c r="Y5" s="373" t="s">
        <v>188</v>
      </c>
      <c r="Z5" s="374" t="s">
        <v>4</v>
      </c>
      <c r="AA5" s="374" t="s">
        <v>5</v>
      </c>
      <c r="AC5" s="373" t="s">
        <v>186</v>
      </c>
      <c r="AD5" s="373" t="s">
        <v>187</v>
      </c>
      <c r="AE5" s="373" t="s">
        <v>188</v>
      </c>
      <c r="AF5" s="374" t="s">
        <v>4</v>
      </c>
      <c r="AG5" s="374" t="s">
        <v>5</v>
      </c>
      <c r="AI5" s="373" t="s">
        <v>186</v>
      </c>
      <c r="AJ5" s="373" t="s">
        <v>187</v>
      </c>
      <c r="AK5" s="373" t="s">
        <v>188</v>
      </c>
      <c r="AL5" s="374" t="s">
        <v>4</v>
      </c>
      <c r="AM5" s="374" t="s">
        <v>5</v>
      </c>
      <c r="AO5" s="373" t="s">
        <v>186</v>
      </c>
      <c r="AP5" s="373" t="s">
        <v>187</v>
      </c>
      <c r="AQ5" s="373" t="s">
        <v>188</v>
      </c>
      <c r="AR5" s="374" t="s">
        <v>4</v>
      </c>
      <c r="AS5" s="374" t="s">
        <v>5</v>
      </c>
      <c r="AU5" s="373" t="s">
        <v>186</v>
      </c>
      <c r="AV5" s="373" t="s">
        <v>187</v>
      </c>
      <c r="AW5" s="373" t="s">
        <v>188</v>
      </c>
      <c r="AX5" s="374" t="s">
        <v>4</v>
      </c>
      <c r="AY5" s="374" t="s">
        <v>5</v>
      </c>
      <c r="BA5" s="373" t="s">
        <v>186</v>
      </c>
      <c r="BB5" s="373" t="s">
        <v>187</v>
      </c>
      <c r="BC5" s="373" t="s">
        <v>188</v>
      </c>
      <c r="BD5" s="374" t="s">
        <v>4</v>
      </c>
      <c r="BE5" s="374" t="s">
        <v>5</v>
      </c>
      <c r="BG5" s="375" t="s">
        <v>8</v>
      </c>
      <c r="BH5" s="376" t="s">
        <v>189</v>
      </c>
      <c r="BI5" s="376" t="s">
        <v>190</v>
      </c>
      <c r="BJ5" s="377" t="s">
        <v>191</v>
      </c>
      <c r="BL5" s="378" t="s">
        <v>192</v>
      </c>
      <c r="BM5" s="379" t="s">
        <v>189</v>
      </c>
      <c r="BN5" s="379" t="s">
        <v>190</v>
      </c>
      <c r="BO5" s="380" t="s">
        <v>5</v>
      </c>
    </row>
    <row r="6" spans="2:67" ht="8.25" customHeight="1">
      <c r="B6" s="726"/>
      <c r="C6" s="363"/>
      <c r="D6" s="381"/>
      <c r="F6" s="382"/>
      <c r="G6" s="382"/>
      <c r="H6" s="382"/>
      <c r="I6" s="382"/>
      <c r="M6" s="383"/>
      <c r="N6" s="383"/>
      <c r="O6" s="383"/>
      <c r="T6" s="384"/>
      <c r="U6" s="384"/>
      <c r="Z6" s="383"/>
      <c r="AA6" s="383"/>
      <c r="AF6" s="383"/>
      <c r="AG6" s="383"/>
      <c r="AL6" s="383"/>
      <c r="AM6" s="383"/>
      <c r="AR6" s="383"/>
      <c r="AS6" s="383"/>
      <c r="AX6" s="383"/>
      <c r="AY6" s="383"/>
      <c r="BD6" s="383"/>
      <c r="BE6" s="383"/>
      <c r="BL6" s="385"/>
      <c r="BM6" s="385"/>
      <c r="BN6" s="385"/>
      <c r="BO6" s="385"/>
    </row>
    <row r="7" spans="2:67" ht="15.75" hidden="1" outlineLevel="1">
      <c r="B7" s="386">
        <v>2016</v>
      </c>
      <c r="C7" s="387" t="s">
        <v>147</v>
      </c>
      <c r="D7" s="388">
        <v>31</v>
      </c>
      <c r="E7" s="389"/>
      <c r="F7" s="686"/>
      <c r="G7" s="686"/>
      <c r="H7" s="686"/>
      <c r="I7" s="686"/>
      <c r="J7" s="389"/>
      <c r="K7" s="390"/>
      <c r="L7" s="390"/>
      <c r="M7" s="390"/>
      <c r="N7" s="390"/>
      <c r="O7" s="390"/>
      <c r="P7" s="389"/>
      <c r="Q7" s="391"/>
      <c r="R7" s="392"/>
      <c r="S7" s="392">
        <f>Q7+R7</f>
        <v>0</v>
      </c>
      <c r="T7" s="393"/>
      <c r="U7" s="393"/>
      <c r="W7" s="391"/>
      <c r="X7" s="392"/>
      <c r="Y7" s="392">
        <f>W7+X7</f>
        <v>0</v>
      </c>
      <c r="Z7" s="394"/>
      <c r="AA7" s="394"/>
      <c r="AC7" s="391"/>
      <c r="AD7" s="392"/>
      <c r="AE7" s="392">
        <f>AC7+AD7</f>
        <v>0</v>
      </c>
      <c r="AF7" s="394"/>
      <c r="AG7" s="394"/>
      <c r="AI7" s="391"/>
      <c r="AJ7" s="392"/>
      <c r="AK7" s="392">
        <f>AI7+AJ7</f>
        <v>0</v>
      </c>
      <c r="AL7" s="394"/>
      <c r="AM7" s="394"/>
      <c r="AO7" s="391"/>
      <c r="AP7" s="392"/>
      <c r="AQ7" s="392">
        <f>AO7+AP7</f>
        <v>0</v>
      </c>
      <c r="AR7" s="394"/>
      <c r="AS7" s="394"/>
      <c r="AU7" s="391"/>
      <c r="AV7" s="392"/>
      <c r="AW7" s="392">
        <f>AU7+AV7</f>
        <v>0</v>
      </c>
      <c r="AX7" s="394"/>
      <c r="AY7" s="394"/>
      <c r="BA7" s="391"/>
      <c r="BB7" s="392"/>
      <c r="BC7" s="392">
        <f>BA7+BB7</f>
        <v>0</v>
      </c>
      <c r="BD7" s="394"/>
      <c r="BE7" s="394"/>
      <c r="BG7" s="671"/>
      <c r="BH7" s="716"/>
      <c r="BI7" s="716"/>
      <c r="BJ7" s="717"/>
      <c r="BL7" s="704"/>
      <c r="BM7" s="706"/>
      <c r="BN7" s="706"/>
      <c r="BO7" s="722"/>
    </row>
    <row r="8" spans="3:67" ht="15" hidden="1" outlineLevel="1">
      <c r="C8" s="387" t="s">
        <v>148</v>
      </c>
      <c r="D8" s="388">
        <v>29</v>
      </c>
      <c r="E8" s="384"/>
      <c r="F8" s="687"/>
      <c r="G8" s="687"/>
      <c r="H8" s="687"/>
      <c r="I8" s="687"/>
      <c r="J8" s="384"/>
      <c r="K8" s="390"/>
      <c r="L8" s="390"/>
      <c r="M8" s="390"/>
      <c r="N8" s="390"/>
      <c r="O8" s="390"/>
      <c r="P8" s="384"/>
      <c r="Q8" s="391"/>
      <c r="R8" s="392"/>
      <c r="S8" s="392">
        <f aca="true" t="shared" si="0" ref="S8:S18">Q8+R8</f>
        <v>0</v>
      </c>
      <c r="T8" s="393"/>
      <c r="U8" s="393"/>
      <c r="W8" s="391"/>
      <c r="X8" s="392"/>
      <c r="Y8" s="392">
        <f aca="true" t="shared" si="1" ref="Y8:Y18">W8+X8</f>
        <v>0</v>
      </c>
      <c r="Z8" s="394"/>
      <c r="AA8" s="394"/>
      <c r="AC8" s="391"/>
      <c r="AD8" s="392"/>
      <c r="AE8" s="392">
        <f aca="true" t="shared" si="2" ref="AE8:AE18">AC8+AD8</f>
        <v>0</v>
      </c>
      <c r="AF8" s="394"/>
      <c r="AG8" s="394"/>
      <c r="AI8" s="391"/>
      <c r="AJ8" s="392"/>
      <c r="AK8" s="392">
        <f aca="true" t="shared" si="3" ref="AK8:AK18">AI8+AJ8</f>
        <v>0</v>
      </c>
      <c r="AL8" s="394"/>
      <c r="AM8" s="394"/>
      <c r="AO8" s="391"/>
      <c r="AP8" s="392"/>
      <c r="AQ8" s="392">
        <f aca="true" t="shared" si="4" ref="AQ8:AQ18">AO8+AP8</f>
        <v>0</v>
      </c>
      <c r="AR8" s="394"/>
      <c r="AS8" s="394"/>
      <c r="AU8" s="391"/>
      <c r="AV8" s="392"/>
      <c r="AW8" s="392">
        <f aca="true" t="shared" si="5" ref="AW8:AW18">AU8+AV8</f>
        <v>0</v>
      </c>
      <c r="AX8" s="394"/>
      <c r="AY8" s="394"/>
      <c r="BA8" s="391"/>
      <c r="BB8" s="392"/>
      <c r="BC8" s="392">
        <f aca="true" t="shared" si="6" ref="BC8:BC18">BA8+BB8</f>
        <v>0</v>
      </c>
      <c r="BD8" s="394"/>
      <c r="BE8" s="394"/>
      <c r="BG8" s="672"/>
      <c r="BH8" s="689"/>
      <c r="BI8" s="689"/>
      <c r="BJ8" s="718"/>
      <c r="BL8" s="705"/>
      <c r="BM8" s="707"/>
      <c r="BN8" s="707"/>
      <c r="BO8" s="723"/>
    </row>
    <row r="9" spans="3:67" ht="15" hidden="1" outlineLevel="1">
      <c r="C9" s="387" t="s">
        <v>149</v>
      </c>
      <c r="D9" s="388">
        <v>31</v>
      </c>
      <c r="E9" s="384"/>
      <c r="F9" s="687"/>
      <c r="G9" s="687"/>
      <c r="H9" s="687"/>
      <c r="I9" s="687"/>
      <c r="J9" s="384"/>
      <c r="K9" s="390"/>
      <c r="L9" s="390"/>
      <c r="M9" s="390"/>
      <c r="N9" s="390"/>
      <c r="O9" s="390"/>
      <c r="P9" s="384"/>
      <c r="Q9" s="391"/>
      <c r="R9" s="392"/>
      <c r="S9" s="392">
        <f t="shared" si="0"/>
        <v>0</v>
      </c>
      <c r="T9" s="393"/>
      <c r="U9" s="393"/>
      <c r="W9" s="391"/>
      <c r="X9" s="392"/>
      <c r="Y9" s="392">
        <f t="shared" si="1"/>
        <v>0</v>
      </c>
      <c r="Z9" s="394"/>
      <c r="AA9" s="394"/>
      <c r="AC9" s="391"/>
      <c r="AD9" s="392"/>
      <c r="AE9" s="392">
        <f t="shared" si="2"/>
        <v>0</v>
      </c>
      <c r="AF9" s="394"/>
      <c r="AG9" s="394"/>
      <c r="AI9" s="391"/>
      <c r="AJ9" s="392"/>
      <c r="AK9" s="392">
        <f t="shared" si="3"/>
        <v>0</v>
      </c>
      <c r="AL9" s="394"/>
      <c r="AM9" s="394"/>
      <c r="AO9" s="391"/>
      <c r="AP9" s="392"/>
      <c r="AQ9" s="392">
        <f t="shared" si="4"/>
        <v>0</v>
      </c>
      <c r="AR9" s="394"/>
      <c r="AS9" s="394"/>
      <c r="AU9" s="391"/>
      <c r="AV9" s="392"/>
      <c r="AW9" s="392">
        <f t="shared" si="5"/>
        <v>0</v>
      </c>
      <c r="AX9" s="394"/>
      <c r="AY9" s="394"/>
      <c r="BA9" s="391"/>
      <c r="BB9" s="392"/>
      <c r="BC9" s="392">
        <f t="shared" si="6"/>
        <v>0</v>
      </c>
      <c r="BD9" s="394"/>
      <c r="BE9" s="394"/>
      <c r="BG9" s="672"/>
      <c r="BH9" s="689"/>
      <c r="BI9" s="689"/>
      <c r="BJ9" s="718"/>
      <c r="BL9" s="705"/>
      <c r="BM9" s="707"/>
      <c r="BN9" s="707"/>
      <c r="BO9" s="723"/>
    </row>
    <row r="10" spans="3:67" ht="15" hidden="1" outlineLevel="1">
      <c r="C10" s="387" t="s">
        <v>150</v>
      </c>
      <c r="D10" s="388">
        <v>30</v>
      </c>
      <c r="E10" s="384"/>
      <c r="F10" s="687"/>
      <c r="G10" s="687"/>
      <c r="H10" s="687"/>
      <c r="I10" s="687"/>
      <c r="J10" s="384"/>
      <c r="K10" s="390"/>
      <c r="L10" s="390"/>
      <c r="M10" s="390"/>
      <c r="N10" s="390"/>
      <c r="O10" s="390"/>
      <c r="P10" s="384"/>
      <c r="Q10" s="391"/>
      <c r="R10" s="392"/>
      <c r="S10" s="392">
        <f t="shared" si="0"/>
        <v>0</v>
      </c>
      <c r="T10" s="393"/>
      <c r="U10" s="393"/>
      <c r="W10" s="391"/>
      <c r="X10" s="392"/>
      <c r="Y10" s="392">
        <f t="shared" si="1"/>
        <v>0</v>
      </c>
      <c r="Z10" s="394"/>
      <c r="AA10" s="394"/>
      <c r="AC10" s="391"/>
      <c r="AD10" s="392"/>
      <c r="AE10" s="392">
        <f t="shared" si="2"/>
        <v>0</v>
      </c>
      <c r="AF10" s="394"/>
      <c r="AG10" s="394"/>
      <c r="AI10" s="391"/>
      <c r="AJ10" s="392"/>
      <c r="AK10" s="392">
        <f t="shared" si="3"/>
        <v>0</v>
      </c>
      <c r="AL10" s="394"/>
      <c r="AM10" s="394"/>
      <c r="AO10" s="391"/>
      <c r="AP10" s="392"/>
      <c r="AQ10" s="392">
        <f t="shared" si="4"/>
        <v>0</v>
      </c>
      <c r="AR10" s="394"/>
      <c r="AS10" s="394"/>
      <c r="AU10" s="391"/>
      <c r="AV10" s="392"/>
      <c r="AW10" s="392">
        <f t="shared" si="5"/>
        <v>0</v>
      </c>
      <c r="AX10" s="394"/>
      <c r="AY10" s="394"/>
      <c r="BA10" s="391"/>
      <c r="BB10" s="392"/>
      <c r="BC10" s="392">
        <f t="shared" si="6"/>
        <v>0</v>
      </c>
      <c r="BD10" s="394"/>
      <c r="BE10" s="394"/>
      <c r="BG10" s="672"/>
      <c r="BH10" s="689"/>
      <c r="BI10" s="689"/>
      <c r="BJ10" s="718"/>
      <c r="BL10" s="705"/>
      <c r="BM10" s="707"/>
      <c r="BN10" s="707"/>
      <c r="BO10" s="723"/>
    </row>
    <row r="11" spans="3:67" ht="15" hidden="1" outlineLevel="1">
      <c r="C11" s="387" t="s">
        <v>151</v>
      </c>
      <c r="D11" s="388">
        <v>31</v>
      </c>
      <c r="E11" s="384"/>
      <c r="F11" s="687"/>
      <c r="G11" s="687"/>
      <c r="H11" s="687"/>
      <c r="I11" s="687"/>
      <c r="J11" s="384"/>
      <c r="K11" s="390"/>
      <c r="L11" s="390"/>
      <c r="M11" s="390"/>
      <c r="N11" s="390"/>
      <c r="O11" s="390"/>
      <c r="P11" s="384"/>
      <c r="Q11" s="391"/>
      <c r="R11" s="392"/>
      <c r="S11" s="392">
        <f t="shared" si="0"/>
        <v>0</v>
      </c>
      <c r="T11" s="393"/>
      <c r="U11" s="393"/>
      <c r="W11" s="391"/>
      <c r="X11" s="392"/>
      <c r="Y11" s="392">
        <f t="shared" si="1"/>
        <v>0</v>
      </c>
      <c r="Z11" s="394"/>
      <c r="AA11" s="394"/>
      <c r="AC11" s="391"/>
      <c r="AD11" s="392"/>
      <c r="AE11" s="392">
        <f t="shared" si="2"/>
        <v>0</v>
      </c>
      <c r="AF11" s="394"/>
      <c r="AG11" s="394"/>
      <c r="AI11" s="391"/>
      <c r="AJ11" s="392"/>
      <c r="AK11" s="392">
        <f t="shared" si="3"/>
        <v>0</v>
      </c>
      <c r="AL11" s="394"/>
      <c r="AM11" s="394"/>
      <c r="AO11" s="391"/>
      <c r="AP11" s="392"/>
      <c r="AQ11" s="392">
        <f t="shared" si="4"/>
        <v>0</v>
      </c>
      <c r="AR11" s="394"/>
      <c r="AS11" s="394"/>
      <c r="AU11" s="391"/>
      <c r="AV11" s="392"/>
      <c r="AW11" s="392">
        <f t="shared" si="5"/>
        <v>0</v>
      </c>
      <c r="AX11" s="394"/>
      <c r="AY11" s="394"/>
      <c r="BA11" s="391"/>
      <c r="BB11" s="392"/>
      <c r="BC11" s="392">
        <f t="shared" si="6"/>
        <v>0</v>
      </c>
      <c r="BD11" s="394"/>
      <c r="BE11" s="394"/>
      <c r="BG11" s="672"/>
      <c r="BH11" s="689"/>
      <c r="BI11" s="689"/>
      <c r="BJ11" s="718"/>
      <c r="BL11" s="705"/>
      <c r="BM11" s="707"/>
      <c r="BN11" s="707"/>
      <c r="BO11" s="723"/>
    </row>
    <row r="12" spans="3:67" ht="15" hidden="1" outlineLevel="1">
      <c r="C12" s="387" t="s">
        <v>152</v>
      </c>
      <c r="D12" s="388">
        <v>30</v>
      </c>
      <c r="E12" s="384"/>
      <c r="F12" s="687"/>
      <c r="G12" s="687"/>
      <c r="H12" s="687"/>
      <c r="I12" s="687"/>
      <c r="J12" s="384"/>
      <c r="K12" s="390"/>
      <c r="L12" s="390"/>
      <c r="M12" s="390"/>
      <c r="N12" s="390"/>
      <c r="O12" s="390"/>
      <c r="P12" s="384"/>
      <c r="Q12" s="391"/>
      <c r="R12" s="392"/>
      <c r="S12" s="392">
        <f t="shared" si="0"/>
        <v>0</v>
      </c>
      <c r="T12" s="393"/>
      <c r="U12" s="393"/>
      <c r="W12" s="391"/>
      <c r="X12" s="392"/>
      <c r="Y12" s="392">
        <f t="shared" si="1"/>
        <v>0</v>
      </c>
      <c r="Z12" s="394"/>
      <c r="AA12" s="394"/>
      <c r="AC12" s="391"/>
      <c r="AD12" s="392"/>
      <c r="AE12" s="392">
        <f t="shared" si="2"/>
        <v>0</v>
      </c>
      <c r="AF12" s="394"/>
      <c r="AG12" s="394"/>
      <c r="AI12" s="391"/>
      <c r="AJ12" s="392"/>
      <c r="AK12" s="392">
        <f t="shared" si="3"/>
        <v>0</v>
      </c>
      <c r="AL12" s="394"/>
      <c r="AM12" s="394"/>
      <c r="AO12" s="391"/>
      <c r="AP12" s="392"/>
      <c r="AQ12" s="392">
        <f t="shared" si="4"/>
        <v>0</v>
      </c>
      <c r="AR12" s="394"/>
      <c r="AS12" s="394"/>
      <c r="AU12" s="391"/>
      <c r="AV12" s="392"/>
      <c r="AW12" s="392">
        <f t="shared" si="5"/>
        <v>0</v>
      </c>
      <c r="AX12" s="394"/>
      <c r="AY12" s="394"/>
      <c r="BA12" s="391"/>
      <c r="BB12" s="392"/>
      <c r="BC12" s="392">
        <f t="shared" si="6"/>
        <v>0</v>
      </c>
      <c r="BD12" s="394"/>
      <c r="BE12" s="394"/>
      <c r="BG12" s="672"/>
      <c r="BH12" s="689"/>
      <c r="BI12" s="689"/>
      <c r="BJ12" s="718"/>
      <c r="BL12" s="705"/>
      <c r="BM12" s="707"/>
      <c r="BN12" s="707"/>
      <c r="BO12" s="723"/>
    </row>
    <row r="13" spans="3:67" ht="15" hidden="1" outlineLevel="1">
      <c r="C13" s="387" t="s">
        <v>153</v>
      </c>
      <c r="D13" s="388">
        <v>31</v>
      </c>
      <c r="E13" s="384"/>
      <c r="F13" s="687"/>
      <c r="G13" s="687"/>
      <c r="H13" s="687"/>
      <c r="I13" s="687"/>
      <c r="J13" s="384"/>
      <c r="K13" s="390"/>
      <c r="L13" s="390"/>
      <c r="M13" s="390"/>
      <c r="N13" s="390"/>
      <c r="O13" s="390"/>
      <c r="P13" s="384"/>
      <c r="Q13" s="391"/>
      <c r="R13" s="392"/>
      <c r="S13" s="392">
        <f t="shared" si="0"/>
        <v>0</v>
      </c>
      <c r="T13" s="393"/>
      <c r="U13" s="393"/>
      <c r="W13" s="391"/>
      <c r="X13" s="392"/>
      <c r="Y13" s="392">
        <f t="shared" si="1"/>
        <v>0</v>
      </c>
      <c r="Z13" s="394"/>
      <c r="AA13" s="394"/>
      <c r="AC13" s="391"/>
      <c r="AD13" s="392"/>
      <c r="AE13" s="392">
        <f t="shared" si="2"/>
        <v>0</v>
      </c>
      <c r="AF13" s="394"/>
      <c r="AG13" s="394"/>
      <c r="AI13" s="391"/>
      <c r="AJ13" s="392"/>
      <c r="AK13" s="392">
        <f t="shared" si="3"/>
        <v>0</v>
      </c>
      <c r="AL13" s="394"/>
      <c r="AM13" s="394"/>
      <c r="AO13" s="391"/>
      <c r="AP13" s="392"/>
      <c r="AQ13" s="392">
        <f t="shared" si="4"/>
        <v>0</v>
      </c>
      <c r="AR13" s="394"/>
      <c r="AS13" s="394"/>
      <c r="AU13" s="391"/>
      <c r="AV13" s="392"/>
      <c r="AW13" s="392">
        <f t="shared" si="5"/>
        <v>0</v>
      </c>
      <c r="AX13" s="394"/>
      <c r="AY13" s="394"/>
      <c r="BA13" s="391"/>
      <c r="BB13" s="392"/>
      <c r="BC13" s="392">
        <f t="shared" si="6"/>
        <v>0</v>
      </c>
      <c r="BD13" s="394"/>
      <c r="BE13" s="394"/>
      <c r="BG13" s="672"/>
      <c r="BH13" s="689"/>
      <c r="BI13" s="689"/>
      <c r="BJ13" s="718"/>
      <c r="BL13" s="705"/>
      <c r="BM13" s="707"/>
      <c r="BN13" s="707"/>
      <c r="BO13" s="723"/>
    </row>
    <row r="14" spans="3:67" ht="15" hidden="1" outlineLevel="1">
      <c r="C14" s="387" t="s">
        <v>154</v>
      </c>
      <c r="D14" s="388">
        <v>31</v>
      </c>
      <c r="E14" s="384"/>
      <c r="F14" s="687"/>
      <c r="G14" s="687"/>
      <c r="H14" s="687"/>
      <c r="I14" s="687"/>
      <c r="J14" s="384"/>
      <c r="K14" s="390"/>
      <c r="L14" s="390"/>
      <c r="M14" s="390"/>
      <c r="N14" s="390"/>
      <c r="O14" s="390"/>
      <c r="P14" s="384"/>
      <c r="Q14" s="391"/>
      <c r="R14" s="392"/>
      <c r="S14" s="392">
        <f t="shared" si="0"/>
        <v>0</v>
      </c>
      <c r="T14" s="393"/>
      <c r="U14" s="393"/>
      <c r="W14" s="391"/>
      <c r="X14" s="392"/>
      <c r="Y14" s="392">
        <f t="shared" si="1"/>
        <v>0</v>
      </c>
      <c r="Z14" s="394"/>
      <c r="AA14" s="394"/>
      <c r="AC14" s="391"/>
      <c r="AD14" s="392"/>
      <c r="AE14" s="392">
        <f t="shared" si="2"/>
        <v>0</v>
      </c>
      <c r="AF14" s="394"/>
      <c r="AG14" s="394"/>
      <c r="AI14" s="391"/>
      <c r="AJ14" s="392"/>
      <c r="AK14" s="392">
        <f t="shared" si="3"/>
        <v>0</v>
      </c>
      <c r="AL14" s="394"/>
      <c r="AM14" s="394"/>
      <c r="AO14" s="391"/>
      <c r="AP14" s="392"/>
      <c r="AQ14" s="392">
        <f t="shared" si="4"/>
        <v>0</v>
      </c>
      <c r="AR14" s="394"/>
      <c r="AS14" s="394"/>
      <c r="AU14" s="391"/>
      <c r="AV14" s="392"/>
      <c r="AW14" s="392">
        <f t="shared" si="5"/>
        <v>0</v>
      </c>
      <c r="AX14" s="394"/>
      <c r="AY14" s="394"/>
      <c r="BA14" s="391"/>
      <c r="BB14" s="392"/>
      <c r="BC14" s="392">
        <f t="shared" si="6"/>
        <v>0</v>
      </c>
      <c r="BD14" s="394"/>
      <c r="BE14" s="394"/>
      <c r="BG14" s="672"/>
      <c r="BH14" s="689"/>
      <c r="BI14" s="689"/>
      <c r="BJ14" s="718"/>
      <c r="BL14" s="705"/>
      <c r="BM14" s="707"/>
      <c r="BN14" s="707"/>
      <c r="BO14" s="723"/>
    </row>
    <row r="15" spans="3:67" ht="15" hidden="1" outlineLevel="1">
      <c r="C15" s="387" t="s">
        <v>155</v>
      </c>
      <c r="D15" s="388">
        <v>30</v>
      </c>
      <c r="E15" s="384"/>
      <c r="F15" s="687"/>
      <c r="G15" s="687"/>
      <c r="H15" s="687"/>
      <c r="I15" s="687"/>
      <c r="J15" s="384"/>
      <c r="K15" s="390"/>
      <c r="L15" s="390"/>
      <c r="M15" s="390"/>
      <c r="N15" s="390"/>
      <c r="O15" s="390"/>
      <c r="P15" s="384"/>
      <c r="Q15" s="391"/>
      <c r="R15" s="392"/>
      <c r="S15" s="392">
        <f t="shared" si="0"/>
        <v>0</v>
      </c>
      <c r="T15" s="393"/>
      <c r="U15" s="393"/>
      <c r="W15" s="391"/>
      <c r="X15" s="392"/>
      <c r="Y15" s="392">
        <f t="shared" si="1"/>
        <v>0</v>
      </c>
      <c r="Z15" s="394"/>
      <c r="AA15" s="394"/>
      <c r="AC15" s="391"/>
      <c r="AD15" s="392"/>
      <c r="AE15" s="392">
        <f t="shared" si="2"/>
        <v>0</v>
      </c>
      <c r="AF15" s="394"/>
      <c r="AG15" s="394"/>
      <c r="AI15" s="391"/>
      <c r="AJ15" s="392"/>
      <c r="AK15" s="392">
        <f t="shared" si="3"/>
        <v>0</v>
      </c>
      <c r="AL15" s="394"/>
      <c r="AM15" s="394"/>
      <c r="AO15" s="391"/>
      <c r="AP15" s="392"/>
      <c r="AQ15" s="392">
        <f t="shared" si="4"/>
        <v>0</v>
      </c>
      <c r="AR15" s="394"/>
      <c r="AS15" s="394"/>
      <c r="AU15" s="391"/>
      <c r="AV15" s="392"/>
      <c r="AW15" s="392">
        <f t="shared" si="5"/>
        <v>0</v>
      </c>
      <c r="AX15" s="394"/>
      <c r="AY15" s="394"/>
      <c r="BA15" s="391"/>
      <c r="BB15" s="392"/>
      <c r="BC15" s="392">
        <f t="shared" si="6"/>
        <v>0</v>
      </c>
      <c r="BD15" s="394"/>
      <c r="BE15" s="394"/>
      <c r="BG15" s="672"/>
      <c r="BH15" s="689"/>
      <c r="BI15" s="689"/>
      <c r="BJ15" s="718"/>
      <c r="BL15" s="705"/>
      <c r="BM15" s="707"/>
      <c r="BN15" s="707"/>
      <c r="BO15" s="723"/>
    </row>
    <row r="16" spans="3:67" ht="15" hidden="1" outlineLevel="1">
      <c r="C16" s="387" t="s">
        <v>156</v>
      </c>
      <c r="D16" s="388">
        <v>31</v>
      </c>
      <c r="E16" s="384"/>
      <c r="F16" s="687"/>
      <c r="G16" s="687"/>
      <c r="H16" s="687"/>
      <c r="I16" s="687"/>
      <c r="J16" s="384"/>
      <c r="K16" s="390"/>
      <c r="L16" s="390"/>
      <c r="M16" s="390"/>
      <c r="N16" s="390"/>
      <c r="O16" s="390"/>
      <c r="P16" s="384"/>
      <c r="Q16" s="391"/>
      <c r="R16" s="392"/>
      <c r="S16" s="392">
        <f t="shared" si="0"/>
        <v>0</v>
      </c>
      <c r="T16" s="393"/>
      <c r="U16" s="393"/>
      <c r="W16" s="391"/>
      <c r="X16" s="392"/>
      <c r="Y16" s="392">
        <f t="shared" si="1"/>
        <v>0</v>
      </c>
      <c r="Z16" s="394"/>
      <c r="AA16" s="394"/>
      <c r="AC16" s="391"/>
      <c r="AD16" s="392"/>
      <c r="AE16" s="392">
        <f t="shared" si="2"/>
        <v>0</v>
      </c>
      <c r="AF16" s="394"/>
      <c r="AG16" s="394"/>
      <c r="AI16" s="391"/>
      <c r="AJ16" s="392"/>
      <c r="AK16" s="392">
        <f t="shared" si="3"/>
        <v>0</v>
      </c>
      <c r="AL16" s="394"/>
      <c r="AM16" s="394"/>
      <c r="AO16" s="391"/>
      <c r="AP16" s="392"/>
      <c r="AQ16" s="392">
        <f t="shared" si="4"/>
        <v>0</v>
      </c>
      <c r="AR16" s="394"/>
      <c r="AS16" s="394"/>
      <c r="AU16" s="391"/>
      <c r="AV16" s="392"/>
      <c r="AW16" s="392">
        <f t="shared" si="5"/>
        <v>0</v>
      </c>
      <c r="AX16" s="394"/>
      <c r="AY16" s="394"/>
      <c r="BA16" s="391"/>
      <c r="BB16" s="392"/>
      <c r="BC16" s="392">
        <f t="shared" si="6"/>
        <v>0</v>
      </c>
      <c r="BD16" s="394"/>
      <c r="BE16" s="394"/>
      <c r="BG16" s="673"/>
      <c r="BH16" s="690"/>
      <c r="BI16" s="690"/>
      <c r="BJ16" s="719"/>
      <c r="BL16" s="705"/>
      <c r="BM16" s="707"/>
      <c r="BN16" s="707"/>
      <c r="BO16" s="723"/>
    </row>
    <row r="17" spans="3:67" ht="15" hidden="1" outlineLevel="1">
      <c r="C17" s="387" t="s">
        <v>157</v>
      </c>
      <c r="D17" s="388">
        <v>30</v>
      </c>
      <c r="E17" s="384"/>
      <c r="F17" s="687"/>
      <c r="G17" s="687"/>
      <c r="H17" s="687"/>
      <c r="I17" s="687"/>
      <c r="J17" s="384"/>
      <c r="K17" s="390"/>
      <c r="L17" s="390"/>
      <c r="M17" s="390"/>
      <c r="N17" s="390"/>
      <c r="O17" s="390"/>
      <c r="P17" s="384"/>
      <c r="Q17" s="391"/>
      <c r="R17" s="392"/>
      <c r="S17" s="392">
        <f t="shared" si="0"/>
        <v>0</v>
      </c>
      <c r="T17" s="393"/>
      <c r="U17" s="393"/>
      <c r="W17" s="391"/>
      <c r="X17" s="392"/>
      <c r="Y17" s="392">
        <f t="shared" si="1"/>
        <v>0</v>
      </c>
      <c r="Z17" s="394"/>
      <c r="AA17" s="394"/>
      <c r="AC17" s="391"/>
      <c r="AD17" s="392"/>
      <c r="AE17" s="392">
        <f t="shared" si="2"/>
        <v>0</v>
      </c>
      <c r="AF17" s="394"/>
      <c r="AG17" s="394"/>
      <c r="AI17" s="391"/>
      <c r="AJ17" s="392"/>
      <c r="AK17" s="392">
        <f t="shared" si="3"/>
        <v>0</v>
      </c>
      <c r="AL17" s="394"/>
      <c r="AM17" s="394"/>
      <c r="AO17" s="391"/>
      <c r="AP17" s="392"/>
      <c r="AQ17" s="392">
        <f t="shared" si="4"/>
        <v>0</v>
      </c>
      <c r="AR17" s="394"/>
      <c r="AS17" s="394"/>
      <c r="AU17" s="391"/>
      <c r="AV17" s="392"/>
      <c r="AW17" s="392">
        <f t="shared" si="5"/>
        <v>0</v>
      </c>
      <c r="AX17" s="394"/>
      <c r="AY17" s="394"/>
      <c r="BA17" s="391"/>
      <c r="BB17" s="392"/>
      <c r="BC17" s="392">
        <f t="shared" si="6"/>
        <v>0</v>
      </c>
      <c r="BD17" s="394"/>
      <c r="BE17" s="394"/>
      <c r="BG17" s="686">
        <v>156</v>
      </c>
      <c r="BH17" s="688">
        <v>43.2</v>
      </c>
      <c r="BI17" s="688">
        <v>42.02</v>
      </c>
      <c r="BJ17" s="702">
        <f>1.15*BG17*(BH17+BI17)</f>
        <v>15288.467999999997</v>
      </c>
      <c r="BL17" s="705"/>
      <c r="BM17" s="707"/>
      <c r="BN17" s="707"/>
      <c r="BO17" s="723"/>
    </row>
    <row r="18" spans="3:67" ht="15" hidden="1" outlineLevel="1">
      <c r="C18" s="387" t="s">
        <v>158</v>
      </c>
      <c r="D18" s="388">
        <v>31</v>
      </c>
      <c r="E18" s="384"/>
      <c r="F18" s="727"/>
      <c r="G18" s="727"/>
      <c r="H18" s="727"/>
      <c r="I18" s="727"/>
      <c r="J18" s="384"/>
      <c r="K18" s="390"/>
      <c r="L18" s="390"/>
      <c r="M18" s="390"/>
      <c r="N18" s="390"/>
      <c r="O18" s="390"/>
      <c r="P18" s="384"/>
      <c r="Q18" s="391"/>
      <c r="R18" s="392"/>
      <c r="S18" s="392">
        <f t="shared" si="0"/>
        <v>0</v>
      </c>
      <c r="T18" s="393"/>
      <c r="U18" s="393"/>
      <c r="W18" s="391"/>
      <c r="X18" s="392"/>
      <c r="Y18" s="392">
        <f t="shared" si="1"/>
        <v>0</v>
      </c>
      <c r="Z18" s="394"/>
      <c r="AA18" s="394"/>
      <c r="AC18" s="391"/>
      <c r="AD18" s="392"/>
      <c r="AE18" s="392">
        <f t="shared" si="2"/>
        <v>0</v>
      </c>
      <c r="AF18" s="394"/>
      <c r="AG18" s="394"/>
      <c r="AI18" s="391"/>
      <c r="AJ18" s="392"/>
      <c r="AK18" s="392">
        <f t="shared" si="3"/>
        <v>0</v>
      </c>
      <c r="AL18" s="394"/>
      <c r="AM18" s="394"/>
      <c r="AO18" s="391"/>
      <c r="AP18" s="392"/>
      <c r="AQ18" s="392">
        <f t="shared" si="4"/>
        <v>0</v>
      </c>
      <c r="AR18" s="394"/>
      <c r="AS18" s="394"/>
      <c r="AU18" s="391"/>
      <c r="AV18" s="392"/>
      <c r="AW18" s="392">
        <f t="shared" si="5"/>
        <v>0</v>
      </c>
      <c r="AX18" s="394"/>
      <c r="AY18" s="394"/>
      <c r="BA18" s="391"/>
      <c r="BB18" s="392"/>
      <c r="BC18" s="392">
        <f t="shared" si="6"/>
        <v>0</v>
      </c>
      <c r="BD18" s="394"/>
      <c r="BE18" s="394"/>
      <c r="BG18" s="687"/>
      <c r="BH18" s="711"/>
      <c r="BI18" s="711"/>
      <c r="BJ18" s="721"/>
      <c r="BL18" s="720"/>
      <c r="BM18" s="712"/>
      <c r="BN18" s="712"/>
      <c r="BO18" s="724"/>
    </row>
    <row r="19" spans="2:67" ht="15.75" hidden="1" outlineLevel="1">
      <c r="B19" s="395"/>
      <c r="C19" s="396"/>
      <c r="E19" s="397"/>
      <c r="F19" s="398">
        <f>SUM(F7:F18)</f>
        <v>0</v>
      </c>
      <c r="G19" s="398">
        <f>SUM(G7:G18)</f>
        <v>0</v>
      </c>
      <c r="H19" s="398">
        <f>SUM(H7:H18)</f>
        <v>0</v>
      </c>
      <c r="I19" s="398" t="e">
        <f>H19/F19</f>
        <v>#DIV/0!</v>
      </c>
      <c r="J19" s="397"/>
      <c r="K19" s="399"/>
      <c r="L19" s="399"/>
      <c r="M19" s="399"/>
      <c r="N19" s="399"/>
      <c r="O19" s="399"/>
      <c r="P19" s="397"/>
      <c r="Q19" s="400"/>
      <c r="R19" s="400"/>
      <c r="S19" s="392"/>
      <c r="T19" s="401"/>
      <c r="U19" s="401"/>
      <c r="W19" s="400"/>
      <c r="X19" s="400"/>
      <c r="Y19" s="392"/>
      <c r="Z19" s="402"/>
      <c r="AA19" s="402"/>
      <c r="AC19" s="400"/>
      <c r="AD19" s="400"/>
      <c r="AE19" s="392"/>
      <c r="AF19" s="402"/>
      <c r="AG19" s="402"/>
      <c r="AI19" s="400"/>
      <c r="AJ19" s="400"/>
      <c r="AK19" s="392"/>
      <c r="AL19" s="402"/>
      <c r="AM19" s="402"/>
      <c r="AO19" s="400"/>
      <c r="AP19" s="400"/>
      <c r="AQ19" s="392"/>
      <c r="AR19" s="402"/>
      <c r="AS19" s="402"/>
      <c r="AU19" s="400"/>
      <c r="AV19" s="400"/>
      <c r="AW19" s="392"/>
      <c r="AX19" s="402"/>
      <c r="AY19" s="402"/>
      <c r="BA19" s="400"/>
      <c r="BB19" s="400"/>
      <c r="BC19" s="392"/>
      <c r="BD19" s="402"/>
      <c r="BE19" s="402"/>
      <c r="BG19" s="403"/>
      <c r="BH19" s="404"/>
      <c r="BI19" s="404"/>
      <c r="BJ19" s="401"/>
      <c r="BL19" s="405"/>
      <c r="BM19" s="406"/>
      <c r="BN19" s="406"/>
      <c r="BO19" s="407"/>
    </row>
    <row r="20" spans="5:67" ht="20.1" customHeight="1" hidden="1" outlineLevel="1">
      <c r="E20" s="408"/>
      <c r="F20" s="363"/>
      <c r="G20" s="409"/>
      <c r="H20" s="409"/>
      <c r="I20" s="409"/>
      <c r="J20" s="408"/>
      <c r="M20" s="410"/>
      <c r="N20" s="410"/>
      <c r="O20" s="410"/>
      <c r="P20" s="408"/>
      <c r="Q20" s="411"/>
      <c r="R20" s="411"/>
      <c r="S20" s="411"/>
      <c r="T20" s="412"/>
      <c r="U20" s="412"/>
      <c r="W20" s="411"/>
      <c r="X20" s="411"/>
      <c r="Y20" s="411"/>
      <c r="Z20" s="410"/>
      <c r="AA20" s="410"/>
      <c r="AC20" s="411"/>
      <c r="AD20" s="411"/>
      <c r="AE20" s="411"/>
      <c r="AF20" s="410"/>
      <c r="AG20" s="410"/>
      <c r="AI20" s="411"/>
      <c r="AJ20" s="411"/>
      <c r="AK20" s="411"/>
      <c r="AL20" s="410"/>
      <c r="AM20" s="410"/>
      <c r="AO20" s="411"/>
      <c r="AP20" s="411"/>
      <c r="AQ20" s="411"/>
      <c r="AR20" s="410"/>
      <c r="AS20" s="410"/>
      <c r="AU20" s="411"/>
      <c r="AV20" s="411"/>
      <c r="AW20" s="411"/>
      <c r="AX20" s="410"/>
      <c r="AY20" s="410"/>
      <c r="BA20" s="411"/>
      <c r="BB20" s="411"/>
      <c r="BC20" s="411"/>
      <c r="BD20" s="410"/>
      <c r="BE20" s="410"/>
      <c r="BG20" s="409"/>
      <c r="BH20" s="413"/>
      <c r="BI20" s="413"/>
      <c r="BJ20" s="414"/>
      <c r="BL20" s="415"/>
      <c r="BM20" s="416"/>
      <c r="BN20" s="416"/>
      <c r="BO20" s="417"/>
    </row>
    <row r="21" spans="2:67" ht="15.75" collapsed="1">
      <c r="B21" s="386">
        <f>B7+1</f>
        <v>2017</v>
      </c>
      <c r="C21" s="387" t="s">
        <v>147</v>
      </c>
      <c r="D21" s="388">
        <v>31</v>
      </c>
      <c r="E21" s="389"/>
      <c r="F21" s="671">
        <v>823.75</v>
      </c>
      <c r="G21" s="674">
        <f>F21*342.67</f>
        <v>282274.41250000003</v>
      </c>
      <c r="H21" s="674">
        <f>G21*1.15</f>
        <v>324615.574375</v>
      </c>
      <c r="I21" s="677">
        <f>H21/F21</f>
        <v>394.07050000000004</v>
      </c>
      <c r="J21" s="389"/>
      <c r="K21" s="390"/>
      <c r="L21" s="390"/>
      <c r="M21" s="390"/>
      <c r="N21" s="390">
        <f>M21*1.21</f>
        <v>0</v>
      </c>
      <c r="O21" s="390"/>
      <c r="P21" s="389"/>
      <c r="Q21" s="669">
        <v>5849.1</v>
      </c>
      <c r="R21" s="669">
        <v>1931.7</v>
      </c>
      <c r="S21" s="669">
        <f>Q21+R21</f>
        <v>7780.8</v>
      </c>
      <c r="T21" s="670">
        <f>9364.41+1933.63+194.52+9973.48+123.65+3851.5+3484.34+730.93+21.18+220.2</f>
        <v>29897.840000000004</v>
      </c>
      <c r="U21" s="670">
        <f>T21*1.21</f>
        <v>36176.3864</v>
      </c>
      <c r="W21" s="669">
        <v>4</v>
      </c>
      <c r="X21" s="669">
        <v>0</v>
      </c>
      <c r="Y21" s="669">
        <f>W21+X21</f>
        <v>4</v>
      </c>
      <c r="Z21" s="670">
        <f>5.66+194.52+10.18+1.98+99.43+0.38+21.18+0.11</f>
        <v>333.44</v>
      </c>
      <c r="AA21" s="670">
        <f>Z21*1.21</f>
        <v>403.4624</v>
      </c>
      <c r="AB21" s="418"/>
      <c r="AC21" s="669">
        <v>1537.4</v>
      </c>
      <c r="AD21" s="669">
        <v>596.8</v>
      </c>
      <c r="AE21" s="669">
        <f>AC21+AD21</f>
        <v>2134.2</v>
      </c>
      <c r="AF21" s="670">
        <f>2461.38+597.4+194.52+2621.47+38.2+1056.43+1396.33+200.49+21.18+60.4</f>
        <v>8647.8</v>
      </c>
      <c r="AG21" s="670">
        <f>AF21*1.21</f>
        <v>10463.837999999998</v>
      </c>
      <c r="AH21" s="418"/>
      <c r="AI21" s="669">
        <v>5311.5</v>
      </c>
      <c r="AJ21" s="669">
        <v>2640.1</v>
      </c>
      <c r="AK21" s="669">
        <f>AI21+AJ21</f>
        <v>7951.6</v>
      </c>
      <c r="AL21" s="670">
        <f>8503.71+2642.74+194.52+9056.8+168.99+3936.04+696+93.94*AK21/1000+21.18+28.3*AK21/1000</f>
        <v>26191.983583999998</v>
      </c>
      <c r="AM21" s="670">
        <f>AL21*1.21</f>
        <v>31692.300136639995</v>
      </c>
      <c r="AN21" s="418"/>
      <c r="AO21" s="669">
        <v>275</v>
      </c>
      <c r="AP21" s="669">
        <v>0</v>
      </c>
      <c r="AQ21" s="669">
        <f>AO21+AP21</f>
        <v>275</v>
      </c>
      <c r="AR21" s="670">
        <f>388.85+194.52+700.02+136.13+77.81+25.83+21.18+7.78</f>
        <v>1552.12</v>
      </c>
      <c r="AS21" s="670">
        <f>AR21*1.21</f>
        <v>1878.0651999999998</v>
      </c>
      <c r="AT21" s="418"/>
      <c r="AU21" s="669">
        <v>9645</v>
      </c>
      <c r="AV21" s="669">
        <v>0</v>
      </c>
      <c r="AW21" s="669">
        <f>AU21+AV21</f>
        <v>9645</v>
      </c>
      <c r="AX21" s="670">
        <f>13638.03+194.52+19663.65+4774.28+1219.09+906.05+21.18+272.95</f>
        <v>40689.75</v>
      </c>
      <c r="AY21" s="670">
        <f>AX21*1.21</f>
        <v>49234.597499999996</v>
      </c>
      <c r="AZ21" s="418"/>
      <c r="BA21" s="669">
        <v>1698</v>
      </c>
      <c r="BB21" s="669">
        <v>0</v>
      </c>
      <c r="BC21" s="669">
        <f>BA21+BB21</f>
        <v>1698</v>
      </c>
      <c r="BD21" s="670">
        <f>2400.97+194.52+3461.78+840.51+311.26+159.51+21.18+48.05</f>
        <v>7437.780000000002</v>
      </c>
      <c r="BE21" s="670">
        <f>BD21*1.21</f>
        <v>8999.713800000001</v>
      </c>
      <c r="BG21" s="671">
        <v>864</v>
      </c>
      <c r="BH21" s="716">
        <v>43.46</v>
      </c>
      <c r="BI21" s="716">
        <v>42.02</v>
      </c>
      <c r="BJ21" s="717">
        <f>1.15*BG21*(BH21+BI21)</f>
        <v>84932.928</v>
      </c>
      <c r="BL21" s="704">
        <v>0</v>
      </c>
      <c r="BM21" s="706">
        <v>0</v>
      </c>
      <c r="BN21" s="706">
        <v>42.02</v>
      </c>
      <c r="BO21" s="708">
        <f>BN21*1.15*506</f>
        <v>24451.438000000002</v>
      </c>
    </row>
    <row r="22" spans="3:67" ht="15">
      <c r="C22" s="387" t="s">
        <v>148</v>
      </c>
      <c r="D22" s="388">
        <v>28</v>
      </c>
      <c r="E22" s="384"/>
      <c r="F22" s="672"/>
      <c r="G22" s="675"/>
      <c r="H22" s="675"/>
      <c r="I22" s="678"/>
      <c r="J22" s="384"/>
      <c r="K22" s="390"/>
      <c r="L22" s="390"/>
      <c r="M22" s="390"/>
      <c r="N22" s="390">
        <f aca="true" t="shared" si="7" ref="N22:N32">M22*1.21</f>
        <v>0</v>
      </c>
      <c r="O22" s="390"/>
      <c r="P22" s="384"/>
      <c r="Q22" s="669"/>
      <c r="R22" s="669"/>
      <c r="S22" s="669">
        <f aca="true" t="shared" si="8" ref="S22:S24">Q22+R22</f>
        <v>0</v>
      </c>
      <c r="T22" s="670"/>
      <c r="U22" s="670"/>
      <c r="W22" s="669"/>
      <c r="X22" s="669"/>
      <c r="Y22" s="669">
        <f aca="true" t="shared" si="9" ref="Y22:Y24">W22+X22</f>
        <v>0</v>
      </c>
      <c r="Z22" s="670"/>
      <c r="AA22" s="670"/>
      <c r="AB22" s="418"/>
      <c r="AC22" s="669"/>
      <c r="AD22" s="669"/>
      <c r="AE22" s="669"/>
      <c r="AF22" s="670"/>
      <c r="AG22" s="670"/>
      <c r="AH22" s="418"/>
      <c r="AI22" s="669"/>
      <c r="AJ22" s="669"/>
      <c r="AK22" s="669"/>
      <c r="AL22" s="670"/>
      <c r="AM22" s="670"/>
      <c r="AN22" s="418"/>
      <c r="AO22" s="669"/>
      <c r="AP22" s="669"/>
      <c r="AQ22" s="669"/>
      <c r="AR22" s="670"/>
      <c r="AS22" s="670"/>
      <c r="AT22" s="418"/>
      <c r="AU22" s="669"/>
      <c r="AV22" s="669"/>
      <c r="AW22" s="669"/>
      <c r="AX22" s="670"/>
      <c r="AY22" s="670"/>
      <c r="AZ22" s="418"/>
      <c r="BA22" s="669"/>
      <c r="BB22" s="669"/>
      <c r="BC22" s="669"/>
      <c r="BD22" s="670"/>
      <c r="BE22" s="670"/>
      <c r="BG22" s="672"/>
      <c r="BH22" s="689"/>
      <c r="BI22" s="689"/>
      <c r="BJ22" s="718"/>
      <c r="BL22" s="705"/>
      <c r="BM22" s="707"/>
      <c r="BN22" s="707"/>
      <c r="BO22" s="709"/>
    </row>
    <row r="23" spans="3:67" ht="15">
      <c r="C23" s="387" t="s">
        <v>149</v>
      </c>
      <c r="D23" s="388">
        <v>31</v>
      </c>
      <c r="E23" s="384"/>
      <c r="F23" s="672"/>
      <c r="G23" s="675"/>
      <c r="H23" s="675"/>
      <c r="I23" s="678"/>
      <c r="J23" s="384"/>
      <c r="K23" s="390"/>
      <c r="L23" s="390"/>
      <c r="M23" s="390"/>
      <c r="N23" s="390">
        <f t="shared" si="7"/>
        <v>0</v>
      </c>
      <c r="O23" s="390"/>
      <c r="P23" s="384"/>
      <c r="Q23" s="669"/>
      <c r="R23" s="669"/>
      <c r="S23" s="669">
        <f t="shared" si="8"/>
        <v>0</v>
      </c>
      <c r="T23" s="670"/>
      <c r="U23" s="670"/>
      <c r="W23" s="669"/>
      <c r="X23" s="669"/>
      <c r="Y23" s="669">
        <f t="shared" si="9"/>
        <v>0</v>
      </c>
      <c r="Z23" s="670"/>
      <c r="AA23" s="670"/>
      <c r="AB23" s="418"/>
      <c r="AC23" s="669"/>
      <c r="AD23" s="669"/>
      <c r="AE23" s="669"/>
      <c r="AF23" s="670"/>
      <c r="AG23" s="670"/>
      <c r="AH23" s="418"/>
      <c r="AI23" s="669"/>
      <c r="AJ23" s="669"/>
      <c r="AK23" s="669"/>
      <c r="AL23" s="670"/>
      <c r="AM23" s="670"/>
      <c r="AN23" s="418"/>
      <c r="AO23" s="669"/>
      <c r="AP23" s="669"/>
      <c r="AQ23" s="669"/>
      <c r="AR23" s="670"/>
      <c r="AS23" s="670"/>
      <c r="AT23" s="418"/>
      <c r="AU23" s="669"/>
      <c r="AV23" s="669"/>
      <c r="AW23" s="669"/>
      <c r="AX23" s="670"/>
      <c r="AY23" s="670"/>
      <c r="AZ23" s="418"/>
      <c r="BA23" s="669"/>
      <c r="BB23" s="669"/>
      <c r="BC23" s="669"/>
      <c r="BD23" s="670"/>
      <c r="BE23" s="670"/>
      <c r="BG23" s="672"/>
      <c r="BH23" s="689"/>
      <c r="BI23" s="689"/>
      <c r="BJ23" s="718"/>
      <c r="BL23" s="705"/>
      <c r="BM23" s="707"/>
      <c r="BN23" s="707"/>
      <c r="BO23" s="709"/>
    </row>
    <row r="24" spans="3:67" ht="15">
      <c r="C24" s="387" t="s">
        <v>150</v>
      </c>
      <c r="D24" s="388">
        <v>30</v>
      </c>
      <c r="E24" s="384"/>
      <c r="F24" s="672"/>
      <c r="G24" s="675"/>
      <c r="H24" s="675"/>
      <c r="I24" s="678"/>
      <c r="J24" s="384"/>
      <c r="K24" s="390"/>
      <c r="L24" s="390"/>
      <c r="M24" s="390"/>
      <c r="N24" s="390">
        <f t="shared" si="7"/>
        <v>0</v>
      </c>
      <c r="O24" s="390"/>
      <c r="P24" s="384"/>
      <c r="Q24" s="669"/>
      <c r="R24" s="669"/>
      <c r="S24" s="669">
        <f t="shared" si="8"/>
        <v>0</v>
      </c>
      <c r="T24" s="670"/>
      <c r="U24" s="670"/>
      <c r="W24" s="669"/>
      <c r="X24" s="669"/>
      <c r="Y24" s="669">
        <f t="shared" si="9"/>
        <v>0</v>
      </c>
      <c r="Z24" s="670"/>
      <c r="AA24" s="670"/>
      <c r="AB24" s="418"/>
      <c r="AC24" s="669"/>
      <c r="AD24" s="669"/>
      <c r="AE24" s="669"/>
      <c r="AF24" s="670"/>
      <c r="AG24" s="670"/>
      <c r="AH24" s="418"/>
      <c r="AI24" s="669"/>
      <c r="AJ24" s="669"/>
      <c r="AK24" s="669"/>
      <c r="AL24" s="670"/>
      <c r="AM24" s="670"/>
      <c r="AN24" s="418"/>
      <c r="AO24" s="669"/>
      <c r="AP24" s="669"/>
      <c r="AQ24" s="669"/>
      <c r="AR24" s="670"/>
      <c r="AS24" s="670"/>
      <c r="AT24" s="418"/>
      <c r="AU24" s="669"/>
      <c r="AV24" s="669"/>
      <c r="AW24" s="669"/>
      <c r="AX24" s="670"/>
      <c r="AY24" s="670"/>
      <c r="AZ24" s="418"/>
      <c r="BA24" s="669"/>
      <c r="BB24" s="669"/>
      <c r="BC24" s="669"/>
      <c r="BD24" s="670"/>
      <c r="BE24" s="670"/>
      <c r="BG24" s="672"/>
      <c r="BH24" s="689"/>
      <c r="BI24" s="689"/>
      <c r="BJ24" s="718"/>
      <c r="BL24" s="705"/>
      <c r="BM24" s="707"/>
      <c r="BN24" s="707"/>
      <c r="BO24" s="709"/>
    </row>
    <row r="25" spans="3:67" ht="15">
      <c r="C25" s="387" t="s">
        <v>151</v>
      </c>
      <c r="D25" s="388">
        <v>31</v>
      </c>
      <c r="E25" s="384"/>
      <c r="F25" s="672"/>
      <c r="G25" s="675"/>
      <c r="H25" s="675"/>
      <c r="I25" s="678"/>
      <c r="J25" s="384"/>
      <c r="K25" s="390"/>
      <c r="L25" s="390"/>
      <c r="M25" s="390"/>
      <c r="N25" s="390">
        <f t="shared" si="7"/>
        <v>0</v>
      </c>
      <c r="O25" s="390"/>
      <c r="P25" s="384"/>
      <c r="Q25" s="669">
        <f>3283+3031+2669.9</f>
        <v>8983.9</v>
      </c>
      <c r="R25" s="669">
        <f>992+989+874.7</f>
        <v>2855.7</v>
      </c>
      <c r="S25" s="669">
        <f>Q25+R25</f>
        <v>11839.599999999999</v>
      </c>
      <c r="T25" s="670">
        <f>76769.86-T35</f>
        <v>46621.91</v>
      </c>
      <c r="U25" s="670">
        <f>T25*1.21</f>
        <v>56412.5111</v>
      </c>
      <c r="W25" s="669">
        <v>9</v>
      </c>
      <c r="X25" s="669">
        <v>0</v>
      </c>
      <c r="Y25" s="669">
        <f>W25+X25</f>
        <v>9</v>
      </c>
      <c r="Z25" s="670">
        <f>12.73+345.48+22.91+4.46+176.57+0.85+37.62+0.25</f>
        <v>600.8700000000001</v>
      </c>
      <c r="AA25" s="670">
        <f>Z25*1.21</f>
        <v>727.0527000000001</v>
      </c>
      <c r="AB25" s="418"/>
      <c r="AC25" s="669">
        <f>21+672+1343.8</f>
        <v>2036.8</v>
      </c>
      <c r="AD25" s="669">
        <f>11+223+484.1</f>
        <v>718.1</v>
      </c>
      <c r="AE25" s="669">
        <f>AC25+AD25</f>
        <v>2754.9</v>
      </c>
      <c r="AF25" s="670">
        <f>19548.15-AF35</f>
        <v>12061.920000000002</v>
      </c>
      <c r="AG25" s="670">
        <f>AF25*1.21</f>
        <v>14594.923200000001</v>
      </c>
      <c r="AH25" s="418"/>
      <c r="AI25" s="669">
        <f>1983+1195</f>
        <v>3178</v>
      </c>
      <c r="AJ25" s="669">
        <f>908+436</f>
        <v>1344</v>
      </c>
      <c r="AK25" s="669">
        <f>AI25+AJ25</f>
        <v>4522</v>
      </c>
      <c r="AL25" s="670">
        <f>22493.96-AL35</f>
        <v>16348.539999999999</v>
      </c>
      <c r="AM25" s="670">
        <f>AL25*1.21</f>
        <v>19781.733399999997</v>
      </c>
      <c r="AN25" s="418"/>
      <c r="AO25" s="669">
        <v>415</v>
      </c>
      <c r="AP25" s="669">
        <v>0</v>
      </c>
      <c r="AQ25" s="669">
        <f>AO25+AP25</f>
        <v>415</v>
      </c>
      <c r="AR25" s="670">
        <f>586.81+345.48+1056.39+205.43+138.19+38.99+37.62+11.74</f>
        <v>2420.6499999999996</v>
      </c>
      <c r="AS25" s="670">
        <f>AR25*1.21</f>
        <v>2928.9864999999995</v>
      </c>
      <c r="AT25" s="418"/>
      <c r="AU25" s="669">
        <f>95+15089</f>
        <v>15184</v>
      </c>
      <c r="AV25" s="669">
        <v>0</v>
      </c>
      <c r="AW25" s="669">
        <f>AU25+AV25</f>
        <v>15184</v>
      </c>
      <c r="AX25" s="670">
        <f>105094.88-AX35</f>
        <v>64346.79</v>
      </c>
      <c r="AY25" s="670">
        <f>AX25*1.21</f>
        <v>77859.6159</v>
      </c>
      <c r="AZ25" s="418"/>
      <c r="BA25" s="669">
        <v>2710</v>
      </c>
      <c r="BB25" s="669">
        <v>0</v>
      </c>
      <c r="BC25" s="669">
        <f>BA25+BB25</f>
        <v>2710</v>
      </c>
      <c r="BD25" s="670">
        <f>3831.94+354.48+5524.99+1341.45+552.74+254.58+37.62+76.69</f>
        <v>11974.490000000002</v>
      </c>
      <c r="BE25" s="670">
        <f>BD25*1.21</f>
        <v>14489.132900000002</v>
      </c>
      <c r="BG25" s="672"/>
      <c r="BH25" s="689"/>
      <c r="BI25" s="689"/>
      <c r="BJ25" s="718"/>
      <c r="BL25" s="705"/>
      <c r="BM25" s="707"/>
      <c r="BN25" s="707"/>
      <c r="BO25" s="709"/>
    </row>
    <row r="26" spans="3:67" ht="15">
      <c r="C26" s="387" t="s">
        <v>152</v>
      </c>
      <c r="D26" s="388">
        <v>30</v>
      </c>
      <c r="E26" s="384"/>
      <c r="F26" s="673"/>
      <c r="G26" s="676"/>
      <c r="H26" s="676"/>
      <c r="I26" s="679"/>
      <c r="J26" s="384"/>
      <c r="K26" s="390"/>
      <c r="L26" s="390"/>
      <c r="M26" s="390"/>
      <c r="N26" s="390">
        <f t="shared" si="7"/>
        <v>0</v>
      </c>
      <c r="O26" s="390"/>
      <c r="P26" s="384"/>
      <c r="Q26" s="669"/>
      <c r="R26" s="669"/>
      <c r="S26" s="669"/>
      <c r="T26" s="670"/>
      <c r="U26" s="670"/>
      <c r="W26" s="669"/>
      <c r="X26" s="669"/>
      <c r="Y26" s="669"/>
      <c r="Z26" s="670"/>
      <c r="AA26" s="670"/>
      <c r="AB26" s="418"/>
      <c r="AC26" s="669"/>
      <c r="AD26" s="669"/>
      <c r="AE26" s="669"/>
      <c r="AF26" s="670"/>
      <c r="AG26" s="670"/>
      <c r="AH26" s="418"/>
      <c r="AI26" s="669"/>
      <c r="AJ26" s="669"/>
      <c r="AK26" s="669"/>
      <c r="AL26" s="670"/>
      <c r="AM26" s="670"/>
      <c r="AN26" s="418"/>
      <c r="AO26" s="669"/>
      <c r="AP26" s="669"/>
      <c r="AQ26" s="669"/>
      <c r="AR26" s="670"/>
      <c r="AS26" s="670"/>
      <c r="AT26" s="418"/>
      <c r="AU26" s="669"/>
      <c r="AV26" s="669"/>
      <c r="AW26" s="669"/>
      <c r="AX26" s="670"/>
      <c r="AY26" s="670"/>
      <c r="AZ26" s="418"/>
      <c r="BA26" s="669"/>
      <c r="BB26" s="669"/>
      <c r="BC26" s="669"/>
      <c r="BD26" s="670"/>
      <c r="BE26" s="670"/>
      <c r="BG26" s="672"/>
      <c r="BH26" s="689"/>
      <c r="BI26" s="689"/>
      <c r="BJ26" s="718"/>
      <c r="BL26" s="705"/>
      <c r="BM26" s="707"/>
      <c r="BN26" s="707"/>
      <c r="BO26" s="709"/>
    </row>
    <row r="27" spans="3:67" ht="15">
      <c r="C27" s="387" t="s">
        <v>153</v>
      </c>
      <c r="D27" s="388">
        <v>31</v>
      </c>
      <c r="E27" s="384"/>
      <c r="F27" s="671">
        <v>582.14</v>
      </c>
      <c r="G27" s="674">
        <f>F27*342.67</f>
        <v>199481.9138</v>
      </c>
      <c r="H27" s="674">
        <f>G27*1.15</f>
        <v>229404.20087</v>
      </c>
      <c r="I27" s="677">
        <f>H27/F27</f>
        <v>394.07050000000004</v>
      </c>
      <c r="J27" s="384"/>
      <c r="K27" s="390"/>
      <c r="L27" s="390"/>
      <c r="M27" s="390"/>
      <c r="N27" s="390">
        <f t="shared" si="7"/>
        <v>0</v>
      </c>
      <c r="O27" s="390"/>
      <c r="P27" s="384"/>
      <c r="Q27" s="669"/>
      <c r="R27" s="669"/>
      <c r="S27" s="669"/>
      <c r="T27" s="670"/>
      <c r="U27" s="670"/>
      <c r="W27" s="669"/>
      <c r="X27" s="669"/>
      <c r="Y27" s="669"/>
      <c r="Z27" s="670"/>
      <c r="AA27" s="670"/>
      <c r="AB27" s="418"/>
      <c r="AC27" s="669"/>
      <c r="AD27" s="669"/>
      <c r="AE27" s="669"/>
      <c r="AF27" s="670"/>
      <c r="AG27" s="670"/>
      <c r="AH27" s="418"/>
      <c r="AI27" s="669"/>
      <c r="AJ27" s="669"/>
      <c r="AK27" s="669"/>
      <c r="AL27" s="670"/>
      <c r="AM27" s="670"/>
      <c r="AN27" s="418"/>
      <c r="AO27" s="669"/>
      <c r="AP27" s="669"/>
      <c r="AQ27" s="669"/>
      <c r="AR27" s="670"/>
      <c r="AS27" s="670"/>
      <c r="AT27" s="418"/>
      <c r="AU27" s="669"/>
      <c r="AV27" s="669"/>
      <c r="AW27" s="669"/>
      <c r="AX27" s="670"/>
      <c r="AY27" s="670"/>
      <c r="AZ27" s="418"/>
      <c r="BA27" s="669"/>
      <c r="BB27" s="669"/>
      <c r="BC27" s="669"/>
      <c r="BD27" s="670"/>
      <c r="BE27" s="670"/>
      <c r="BG27" s="672"/>
      <c r="BH27" s="689"/>
      <c r="BI27" s="689"/>
      <c r="BJ27" s="718"/>
      <c r="BL27" s="705"/>
      <c r="BM27" s="707"/>
      <c r="BN27" s="707"/>
      <c r="BO27" s="709"/>
    </row>
    <row r="28" spans="3:67" ht="15">
      <c r="C28" s="387" t="s">
        <v>154</v>
      </c>
      <c r="D28" s="388">
        <v>31</v>
      </c>
      <c r="E28" s="384"/>
      <c r="F28" s="672"/>
      <c r="G28" s="675"/>
      <c r="H28" s="675"/>
      <c r="I28" s="678"/>
      <c r="J28" s="384"/>
      <c r="K28" s="390"/>
      <c r="L28" s="390"/>
      <c r="M28" s="390"/>
      <c r="N28" s="390">
        <f t="shared" si="7"/>
        <v>0</v>
      </c>
      <c r="O28" s="390"/>
      <c r="P28" s="384"/>
      <c r="Q28" s="669"/>
      <c r="R28" s="669"/>
      <c r="S28" s="669"/>
      <c r="T28" s="670"/>
      <c r="U28" s="670"/>
      <c r="W28" s="669"/>
      <c r="X28" s="669"/>
      <c r="Y28" s="669"/>
      <c r="Z28" s="670"/>
      <c r="AA28" s="670"/>
      <c r="AB28" s="418"/>
      <c r="AC28" s="669"/>
      <c r="AD28" s="669"/>
      <c r="AE28" s="669"/>
      <c r="AF28" s="670"/>
      <c r="AG28" s="670"/>
      <c r="AH28" s="418"/>
      <c r="AI28" s="669"/>
      <c r="AJ28" s="669"/>
      <c r="AK28" s="669"/>
      <c r="AL28" s="670"/>
      <c r="AM28" s="670"/>
      <c r="AN28" s="418"/>
      <c r="AO28" s="669"/>
      <c r="AP28" s="669"/>
      <c r="AQ28" s="669"/>
      <c r="AR28" s="670"/>
      <c r="AS28" s="670"/>
      <c r="AT28" s="418"/>
      <c r="AU28" s="669"/>
      <c r="AV28" s="669"/>
      <c r="AW28" s="669"/>
      <c r="AX28" s="670"/>
      <c r="AY28" s="670"/>
      <c r="AZ28" s="418"/>
      <c r="BA28" s="669"/>
      <c r="BB28" s="669"/>
      <c r="BC28" s="669"/>
      <c r="BD28" s="670"/>
      <c r="BE28" s="670"/>
      <c r="BG28" s="672"/>
      <c r="BH28" s="689"/>
      <c r="BI28" s="689"/>
      <c r="BJ28" s="718"/>
      <c r="BL28" s="705"/>
      <c r="BM28" s="707"/>
      <c r="BN28" s="707"/>
      <c r="BO28" s="709"/>
    </row>
    <row r="29" spans="3:67" ht="15">
      <c r="C29" s="387" t="s">
        <v>155</v>
      </c>
      <c r="D29" s="388">
        <v>30</v>
      </c>
      <c r="E29" s="384"/>
      <c r="F29" s="672"/>
      <c r="G29" s="675"/>
      <c r="H29" s="675"/>
      <c r="I29" s="678"/>
      <c r="J29" s="384"/>
      <c r="K29" s="390"/>
      <c r="L29" s="390"/>
      <c r="M29" s="390"/>
      <c r="N29" s="390">
        <f t="shared" si="7"/>
        <v>0</v>
      </c>
      <c r="O29" s="390"/>
      <c r="P29" s="384"/>
      <c r="Q29" s="669"/>
      <c r="R29" s="669"/>
      <c r="S29" s="669"/>
      <c r="T29" s="670"/>
      <c r="U29" s="670"/>
      <c r="W29" s="669"/>
      <c r="X29" s="669"/>
      <c r="Y29" s="669"/>
      <c r="Z29" s="670"/>
      <c r="AA29" s="670"/>
      <c r="AB29" s="418"/>
      <c r="AC29" s="669"/>
      <c r="AD29" s="669"/>
      <c r="AE29" s="669"/>
      <c r="AF29" s="670"/>
      <c r="AG29" s="670"/>
      <c r="AH29" s="418"/>
      <c r="AI29" s="669"/>
      <c r="AJ29" s="669"/>
      <c r="AK29" s="669"/>
      <c r="AL29" s="670"/>
      <c r="AM29" s="670"/>
      <c r="AN29" s="418"/>
      <c r="AO29" s="669"/>
      <c r="AP29" s="669"/>
      <c r="AQ29" s="669"/>
      <c r="AR29" s="670"/>
      <c r="AS29" s="670"/>
      <c r="AT29" s="418"/>
      <c r="AU29" s="669"/>
      <c r="AV29" s="669"/>
      <c r="AW29" s="669"/>
      <c r="AX29" s="670"/>
      <c r="AY29" s="670"/>
      <c r="AZ29" s="418"/>
      <c r="BA29" s="669"/>
      <c r="BB29" s="669"/>
      <c r="BC29" s="669"/>
      <c r="BD29" s="670"/>
      <c r="BE29" s="670"/>
      <c r="BG29" s="672"/>
      <c r="BH29" s="689"/>
      <c r="BI29" s="689"/>
      <c r="BJ29" s="718"/>
      <c r="BL29" s="705"/>
      <c r="BM29" s="707"/>
      <c r="BN29" s="707"/>
      <c r="BO29" s="709"/>
    </row>
    <row r="30" spans="3:67" ht="15">
      <c r="C30" s="387" t="s">
        <v>156</v>
      </c>
      <c r="D30" s="388">
        <v>31</v>
      </c>
      <c r="E30" s="384"/>
      <c r="F30" s="672"/>
      <c r="G30" s="675"/>
      <c r="H30" s="675"/>
      <c r="I30" s="678"/>
      <c r="J30" s="384"/>
      <c r="K30" s="390"/>
      <c r="L30" s="390"/>
      <c r="M30" s="390"/>
      <c r="N30" s="390">
        <f t="shared" si="7"/>
        <v>0</v>
      </c>
      <c r="O30" s="390"/>
      <c r="P30" s="384"/>
      <c r="Q30" s="669"/>
      <c r="R30" s="669"/>
      <c r="S30" s="669"/>
      <c r="T30" s="670"/>
      <c r="U30" s="670"/>
      <c r="W30" s="669"/>
      <c r="X30" s="669"/>
      <c r="Y30" s="669"/>
      <c r="Z30" s="670"/>
      <c r="AA30" s="670"/>
      <c r="AB30" s="418"/>
      <c r="AC30" s="669"/>
      <c r="AD30" s="669"/>
      <c r="AE30" s="669"/>
      <c r="AF30" s="670"/>
      <c r="AG30" s="670"/>
      <c r="AH30" s="418"/>
      <c r="AI30" s="669"/>
      <c r="AJ30" s="669"/>
      <c r="AK30" s="669"/>
      <c r="AL30" s="670"/>
      <c r="AM30" s="670"/>
      <c r="AN30" s="418"/>
      <c r="AO30" s="669"/>
      <c r="AP30" s="669"/>
      <c r="AQ30" s="669"/>
      <c r="AR30" s="670"/>
      <c r="AS30" s="670"/>
      <c r="AT30" s="418"/>
      <c r="AU30" s="669"/>
      <c r="AV30" s="669"/>
      <c r="AW30" s="669"/>
      <c r="AX30" s="670"/>
      <c r="AY30" s="670"/>
      <c r="AZ30" s="418"/>
      <c r="BA30" s="669"/>
      <c r="BB30" s="669"/>
      <c r="BC30" s="669"/>
      <c r="BD30" s="670"/>
      <c r="BE30" s="670"/>
      <c r="BG30" s="673"/>
      <c r="BH30" s="690"/>
      <c r="BI30" s="690"/>
      <c r="BJ30" s="719"/>
      <c r="BL30" s="705"/>
      <c r="BM30" s="707"/>
      <c r="BN30" s="707"/>
      <c r="BO30" s="709"/>
    </row>
    <row r="31" spans="3:67" ht="15">
      <c r="C31" s="387" t="s">
        <v>157</v>
      </c>
      <c r="D31" s="388">
        <v>30</v>
      </c>
      <c r="E31" s="384"/>
      <c r="F31" s="672"/>
      <c r="G31" s="675"/>
      <c r="H31" s="675"/>
      <c r="I31" s="678"/>
      <c r="J31" s="384"/>
      <c r="K31" s="390"/>
      <c r="L31" s="390"/>
      <c r="M31" s="390"/>
      <c r="N31" s="390">
        <f t="shared" si="7"/>
        <v>0</v>
      </c>
      <c r="O31" s="390"/>
      <c r="P31" s="384"/>
      <c r="Q31" s="669"/>
      <c r="R31" s="669"/>
      <c r="S31" s="669"/>
      <c r="T31" s="670"/>
      <c r="U31" s="670"/>
      <c r="W31" s="669"/>
      <c r="X31" s="669"/>
      <c r="Y31" s="669"/>
      <c r="Z31" s="670"/>
      <c r="AA31" s="670"/>
      <c r="AB31" s="418"/>
      <c r="AC31" s="669"/>
      <c r="AD31" s="669"/>
      <c r="AE31" s="669"/>
      <c r="AF31" s="670"/>
      <c r="AG31" s="670"/>
      <c r="AH31" s="418"/>
      <c r="AI31" s="669"/>
      <c r="AJ31" s="669"/>
      <c r="AK31" s="669"/>
      <c r="AL31" s="670"/>
      <c r="AM31" s="670"/>
      <c r="AN31" s="418"/>
      <c r="AO31" s="669"/>
      <c r="AP31" s="669"/>
      <c r="AQ31" s="669"/>
      <c r="AR31" s="670"/>
      <c r="AS31" s="670"/>
      <c r="AT31" s="418"/>
      <c r="AU31" s="669"/>
      <c r="AV31" s="669"/>
      <c r="AW31" s="669"/>
      <c r="AX31" s="670"/>
      <c r="AY31" s="670"/>
      <c r="AZ31" s="418"/>
      <c r="BA31" s="669"/>
      <c r="BB31" s="669"/>
      <c r="BC31" s="669"/>
      <c r="BD31" s="670"/>
      <c r="BE31" s="670"/>
      <c r="BG31" s="686">
        <v>117</v>
      </c>
      <c r="BH31" s="688">
        <v>43.46</v>
      </c>
      <c r="BI31" s="688">
        <v>42.02</v>
      </c>
      <c r="BJ31" s="702">
        <f>1.15*BG31*(BH31+BI31)</f>
        <v>11501.333999999999</v>
      </c>
      <c r="BL31" s="705"/>
      <c r="BM31" s="707"/>
      <c r="BN31" s="707"/>
      <c r="BO31" s="709"/>
    </row>
    <row r="32" spans="3:67" ht="15">
      <c r="C32" s="387" t="s">
        <v>158</v>
      </c>
      <c r="D32" s="388">
        <v>31</v>
      </c>
      <c r="E32" s="384"/>
      <c r="F32" s="673"/>
      <c r="G32" s="676"/>
      <c r="H32" s="676"/>
      <c r="I32" s="679"/>
      <c r="J32" s="384"/>
      <c r="K32" s="390"/>
      <c r="L32" s="390"/>
      <c r="M32" s="390"/>
      <c r="N32" s="390">
        <f t="shared" si="7"/>
        <v>0</v>
      </c>
      <c r="O32" s="390"/>
      <c r="P32" s="384"/>
      <c r="Q32" s="669"/>
      <c r="R32" s="669"/>
      <c r="S32" s="669"/>
      <c r="T32" s="670"/>
      <c r="U32" s="670"/>
      <c r="W32" s="669"/>
      <c r="X32" s="669"/>
      <c r="Y32" s="669"/>
      <c r="Z32" s="670"/>
      <c r="AA32" s="670"/>
      <c r="AB32" s="418"/>
      <c r="AC32" s="669"/>
      <c r="AD32" s="669"/>
      <c r="AE32" s="669"/>
      <c r="AF32" s="670"/>
      <c r="AG32" s="670"/>
      <c r="AH32" s="418"/>
      <c r="AI32" s="669"/>
      <c r="AJ32" s="669"/>
      <c r="AK32" s="669"/>
      <c r="AL32" s="670"/>
      <c r="AM32" s="670"/>
      <c r="AN32" s="418"/>
      <c r="AO32" s="669"/>
      <c r="AP32" s="669"/>
      <c r="AQ32" s="669"/>
      <c r="AR32" s="670"/>
      <c r="AS32" s="670"/>
      <c r="AT32" s="418"/>
      <c r="AU32" s="669"/>
      <c r="AV32" s="669"/>
      <c r="AW32" s="669"/>
      <c r="AX32" s="670"/>
      <c r="AY32" s="670"/>
      <c r="AZ32" s="418"/>
      <c r="BA32" s="669"/>
      <c r="BB32" s="669"/>
      <c r="BC32" s="669"/>
      <c r="BD32" s="670"/>
      <c r="BE32" s="670"/>
      <c r="BG32" s="687"/>
      <c r="BH32" s="711"/>
      <c r="BI32" s="711"/>
      <c r="BJ32" s="721"/>
      <c r="BL32" s="720"/>
      <c r="BM32" s="712"/>
      <c r="BN32" s="712"/>
      <c r="BO32" s="713"/>
    </row>
    <row r="33" spans="2:67" ht="15.75">
      <c r="B33" s="395"/>
      <c r="C33" s="396"/>
      <c r="E33" s="397"/>
      <c r="F33" s="419">
        <f>SUM(F21:F32)</f>
        <v>1405.8899999999999</v>
      </c>
      <c r="G33" s="420"/>
      <c r="H33" s="419">
        <f>SUM(H21:H32)</f>
        <v>554019.775245</v>
      </c>
      <c r="I33" s="420"/>
      <c r="J33" s="421"/>
      <c r="Q33" s="422"/>
      <c r="R33" s="422"/>
      <c r="S33" s="422">
        <f>SUM(S21:S32)</f>
        <v>19620.399999999998</v>
      </c>
      <c r="T33" s="422">
        <f>SUM(T21:T32)</f>
        <v>76519.75</v>
      </c>
      <c r="U33" s="422">
        <f>SUM(U21:U32)</f>
        <v>92588.8975</v>
      </c>
      <c r="V33" s="423"/>
      <c r="W33" s="422"/>
      <c r="X33" s="422"/>
      <c r="Y33" s="422">
        <f>SUM(Y21:Y32)</f>
        <v>13</v>
      </c>
      <c r="Z33" s="422">
        <f>SUM(Z21:Z32)</f>
        <v>934.3100000000002</v>
      </c>
      <c r="AA33" s="422">
        <f>SUM(AA21:AA32)</f>
        <v>1130.5151</v>
      </c>
      <c r="AB33" s="423"/>
      <c r="AC33" s="422"/>
      <c r="AD33" s="422"/>
      <c r="AE33" s="422">
        <f>SUM(AE21:AE32)</f>
        <v>4889.1</v>
      </c>
      <c r="AF33" s="422">
        <f>SUM(AF21:AF32)</f>
        <v>20709.72</v>
      </c>
      <c r="AG33" s="422">
        <f>SUM(AG21:AG32)</f>
        <v>25058.7612</v>
      </c>
      <c r="AH33" s="423"/>
      <c r="AI33" s="422"/>
      <c r="AJ33" s="422"/>
      <c r="AK33" s="422">
        <f>SUM(AK21:AK32)</f>
        <v>12473.6</v>
      </c>
      <c r="AL33" s="422">
        <f>SUM(AL21:AL32)</f>
        <v>42540.523583999995</v>
      </c>
      <c r="AM33" s="422">
        <f>SUM(AM21:AM32)</f>
        <v>51474.033536639996</v>
      </c>
      <c r="AN33" s="423"/>
      <c r="AO33" s="422"/>
      <c r="AP33" s="422"/>
      <c r="AQ33" s="422">
        <f>SUM(AQ21:AQ32)</f>
        <v>690</v>
      </c>
      <c r="AR33" s="422">
        <f>SUM(AR21:AR32)</f>
        <v>3972.7699999999995</v>
      </c>
      <c r="AS33" s="422">
        <f>SUM(AS21:AS32)</f>
        <v>4807.051699999999</v>
      </c>
      <c r="AT33" s="423"/>
      <c r="AU33" s="422"/>
      <c r="AV33" s="422"/>
      <c r="AW33" s="422">
        <f>SUM(AW21:AW32)</f>
        <v>24829</v>
      </c>
      <c r="AX33" s="422">
        <f>SUM(AX21:AX32)</f>
        <v>105036.54000000001</v>
      </c>
      <c r="AY33" s="422">
        <f>SUM(AY21:AY32)</f>
        <v>127094.21340000001</v>
      </c>
      <c r="AZ33" s="423"/>
      <c r="BA33" s="422"/>
      <c r="BB33" s="422"/>
      <c r="BC33" s="422">
        <f>SUM(BC21:BC32)</f>
        <v>4408</v>
      </c>
      <c r="BD33" s="422">
        <f>SUM(BD21:BD32)</f>
        <v>19412.270000000004</v>
      </c>
      <c r="BE33" s="422">
        <f>SUM(BE21:BE32)</f>
        <v>23488.846700000002</v>
      </c>
      <c r="BF33" s="423"/>
      <c r="BG33" s="419">
        <f>SUM(BG21:BG32)</f>
        <v>981</v>
      </c>
      <c r="BJ33" s="424">
        <f>SUM(BJ21:BJ32)</f>
        <v>96434.262</v>
      </c>
      <c r="BL33" s="425">
        <f>SUM(BL21:BL32)</f>
        <v>0</v>
      </c>
      <c r="BM33" s="385"/>
      <c r="BN33" s="385"/>
      <c r="BO33" s="426">
        <f>SUM(BO21:BO32)</f>
        <v>24451.438000000002</v>
      </c>
    </row>
    <row r="34" spans="2:67" ht="15.75" customHeight="1" outlineLevel="1">
      <c r="B34" s="395"/>
      <c r="C34" s="396"/>
      <c r="E34" s="397"/>
      <c r="F34" s="403"/>
      <c r="G34" s="427"/>
      <c r="H34" s="427"/>
      <c r="I34" s="427"/>
      <c r="J34" s="397"/>
      <c r="K34" s="403"/>
      <c r="L34" s="397"/>
      <c r="M34" s="402"/>
      <c r="N34" s="402"/>
      <c r="O34" s="402"/>
      <c r="P34" s="397"/>
      <c r="Q34" s="428"/>
      <c r="R34" s="428"/>
      <c r="S34" s="428"/>
      <c r="T34" s="401"/>
      <c r="U34" s="401"/>
      <c r="W34" s="428"/>
      <c r="X34" s="428"/>
      <c r="Y34" s="428"/>
      <c r="Z34" s="401"/>
      <c r="AA34" s="401"/>
      <c r="AB34" s="418"/>
      <c r="AC34" s="428"/>
      <c r="AD34" s="428"/>
      <c r="AE34" s="428"/>
      <c r="AF34" s="401"/>
      <c r="AG34" s="401"/>
      <c r="AH34" s="418"/>
      <c r="AI34" s="428"/>
      <c r="AJ34" s="428"/>
      <c r="AK34" s="428"/>
      <c r="AL34" s="401"/>
      <c r="AM34" s="401"/>
      <c r="AN34" s="418"/>
      <c r="AO34" s="428"/>
      <c r="AP34" s="428"/>
      <c r="AQ34" s="428"/>
      <c r="AR34" s="401"/>
      <c r="AS34" s="401"/>
      <c r="AT34" s="418"/>
      <c r="AU34" s="428"/>
      <c r="AV34" s="428"/>
      <c r="AW34" s="428"/>
      <c r="AX34" s="401"/>
      <c r="AY34" s="401"/>
      <c r="AZ34" s="418"/>
      <c r="BA34" s="428"/>
      <c r="BB34" s="428"/>
      <c r="BC34" s="428"/>
      <c r="BD34" s="401"/>
      <c r="BE34" s="401"/>
      <c r="BG34" s="409"/>
      <c r="BH34" s="413"/>
      <c r="BI34" s="413"/>
      <c r="BJ34" s="414"/>
      <c r="BL34" s="415"/>
      <c r="BM34" s="416"/>
      <c r="BN34" s="416"/>
      <c r="BO34" s="429"/>
    </row>
    <row r="35" spans="2:67" ht="15.75" customHeight="1" outlineLevel="1">
      <c r="B35" s="386">
        <f>B21+1</f>
        <v>2018</v>
      </c>
      <c r="C35" s="387" t="s">
        <v>147</v>
      </c>
      <c r="D35" s="388">
        <v>31</v>
      </c>
      <c r="E35" s="389"/>
      <c r="F35" s="671">
        <v>792.69</v>
      </c>
      <c r="G35" s="674">
        <f>F35*356.82</f>
        <v>282847.6458</v>
      </c>
      <c r="H35" s="674">
        <f>G35*1.15</f>
        <v>325274.79267</v>
      </c>
      <c r="I35" s="677">
        <f>H35/F35</f>
        <v>410.34299999999996</v>
      </c>
      <c r="J35" s="389"/>
      <c r="K35" s="390"/>
      <c r="L35" s="430"/>
      <c r="M35" s="431"/>
      <c r="N35" s="390">
        <f>M35*1.21</f>
        <v>0</v>
      </c>
      <c r="O35" s="431"/>
      <c r="P35" s="389"/>
      <c r="Q35" s="669">
        <v>5778.1</v>
      </c>
      <c r="R35" s="669">
        <v>1823.3</v>
      </c>
      <c r="S35" s="669">
        <f>Q35+R35</f>
        <v>7601.400000000001</v>
      </c>
      <c r="T35" s="670">
        <f>9250.74+1825.12+195.97+10343.67+130.71+3762.69+3688.69+711.72+23.52+215.12</f>
        <v>30147.949999999997</v>
      </c>
      <c r="U35" s="670">
        <f>T35*1.21</f>
        <v>36479.019499999995</v>
      </c>
      <c r="W35" s="669">
        <v>7</v>
      </c>
      <c r="X35" s="669">
        <v>0</v>
      </c>
      <c r="Y35" s="669">
        <f>W35+X35</f>
        <v>7</v>
      </c>
      <c r="Z35" s="670">
        <f>966.53-Z25</f>
        <v>365.65999999999985</v>
      </c>
      <c r="AA35" s="670">
        <f>Z35*1.21</f>
        <v>442.44859999999983</v>
      </c>
      <c r="AB35" s="418"/>
      <c r="AC35" s="669">
        <v>1227.2</v>
      </c>
      <c r="AD35" s="669">
        <v>515.9</v>
      </c>
      <c r="AE35" s="669">
        <f>AC35+AD35</f>
        <v>1743.1</v>
      </c>
      <c r="AF35" s="670">
        <f>1964.75+516.42+195.97+2196.87+36.98+862.83+1476.35+163.21+23.52+49.33</f>
        <v>7486.2300000000005</v>
      </c>
      <c r="AG35" s="670">
        <f>AF35*1.21</f>
        <v>9058.3383</v>
      </c>
      <c r="AH35" s="418"/>
      <c r="AI35" s="669">
        <v>1098</v>
      </c>
      <c r="AJ35" s="669">
        <v>467</v>
      </c>
      <c r="AK35" s="669">
        <f>AI35+AJ35</f>
        <v>1565</v>
      </c>
      <c r="AL35" s="670">
        <f>1757.9+467.47+195.97+1965.58+33.48+774.68+736+146.53+23.52+44.29</f>
        <v>6145.42</v>
      </c>
      <c r="AM35" s="670">
        <f>AL35*1.21</f>
        <v>7435.9582</v>
      </c>
      <c r="AN35" s="418"/>
      <c r="AO35" s="669">
        <v>258</v>
      </c>
      <c r="AP35" s="669">
        <v>0</v>
      </c>
      <c r="AQ35" s="669">
        <f>AO35+AP35</f>
        <v>258</v>
      </c>
      <c r="AR35" s="670">
        <f>3945.07-AR25</f>
        <v>1524.4200000000005</v>
      </c>
      <c r="AS35" s="670">
        <f>AR35*1.21</f>
        <v>1844.5482000000006</v>
      </c>
      <c r="AT35" s="418"/>
      <c r="AU35" s="669">
        <v>9408</v>
      </c>
      <c r="AV35" s="669">
        <v>0</v>
      </c>
      <c r="AW35" s="669">
        <f>AU35+AV35</f>
        <v>9408</v>
      </c>
      <c r="AX35" s="670">
        <f>13302.91+195.97+20136.88+4656.96+1284.73+880.87+23.52+266.25</f>
        <v>40748.090000000004</v>
      </c>
      <c r="AY35" s="670">
        <f>AX35*1.21</f>
        <v>49305.1889</v>
      </c>
      <c r="AZ35" s="418"/>
      <c r="BA35" s="669">
        <v>1676</v>
      </c>
      <c r="BB35" s="669">
        <v>0</v>
      </c>
      <c r="BC35" s="669">
        <f>BA35+BB35</f>
        <v>1676</v>
      </c>
      <c r="BD35" s="670">
        <f>19502.75-BD25</f>
        <v>7528.259999999998</v>
      </c>
      <c r="BE35" s="670">
        <f>BD35*1.21</f>
        <v>9109.194599999997</v>
      </c>
      <c r="BG35" s="671">
        <v>775</v>
      </c>
      <c r="BH35" s="716">
        <v>43.46</v>
      </c>
      <c r="BI35" s="716">
        <v>42.34</v>
      </c>
      <c r="BJ35" s="717">
        <f>1.15*BG35*(BH35+BI35)</f>
        <v>76469.25</v>
      </c>
      <c r="BL35" s="704">
        <v>0</v>
      </c>
      <c r="BM35" s="706">
        <v>0</v>
      </c>
      <c r="BN35" s="706">
        <v>42.34</v>
      </c>
      <c r="BO35" s="708">
        <f>BN35*1.15*506</f>
        <v>24637.646</v>
      </c>
    </row>
    <row r="36" spans="3:67" ht="15" customHeight="1" outlineLevel="1">
      <c r="C36" s="387" t="s">
        <v>148</v>
      </c>
      <c r="D36" s="388">
        <v>28</v>
      </c>
      <c r="E36" s="384"/>
      <c r="F36" s="672"/>
      <c r="G36" s="675"/>
      <c r="H36" s="675"/>
      <c r="I36" s="678"/>
      <c r="J36" s="384"/>
      <c r="K36" s="390"/>
      <c r="L36" s="430"/>
      <c r="M36" s="431"/>
      <c r="N36" s="390">
        <f aca="true" t="shared" si="10" ref="N36:N46">M36*1.21</f>
        <v>0</v>
      </c>
      <c r="O36" s="431"/>
      <c r="P36" s="384"/>
      <c r="Q36" s="669"/>
      <c r="R36" s="669"/>
      <c r="S36" s="669">
        <f aca="true" t="shared" si="11" ref="S36:S38">Q36+R36</f>
        <v>0</v>
      </c>
      <c r="T36" s="670"/>
      <c r="U36" s="670"/>
      <c r="W36" s="669"/>
      <c r="X36" s="669"/>
      <c r="Y36" s="669">
        <f aca="true" t="shared" si="12" ref="Y36:Y38">W36+X36</f>
        <v>0</v>
      </c>
      <c r="Z36" s="670"/>
      <c r="AA36" s="670"/>
      <c r="AB36" s="418"/>
      <c r="AC36" s="669"/>
      <c r="AD36" s="669"/>
      <c r="AE36" s="669">
        <f aca="true" t="shared" si="13" ref="AE36:AE38">AC36+AD36</f>
        <v>0</v>
      </c>
      <c r="AF36" s="670"/>
      <c r="AG36" s="670"/>
      <c r="AH36" s="418"/>
      <c r="AI36" s="669"/>
      <c r="AJ36" s="669"/>
      <c r="AK36" s="669">
        <f aca="true" t="shared" si="14" ref="AK36:AK38">AI36+AJ36</f>
        <v>0</v>
      </c>
      <c r="AL36" s="670"/>
      <c r="AM36" s="670"/>
      <c r="AN36" s="418"/>
      <c r="AO36" s="669"/>
      <c r="AP36" s="669"/>
      <c r="AQ36" s="669">
        <f aca="true" t="shared" si="15" ref="AQ36:AQ38">AO36+AP36</f>
        <v>0</v>
      </c>
      <c r="AR36" s="670"/>
      <c r="AS36" s="670"/>
      <c r="AT36" s="418"/>
      <c r="AU36" s="669"/>
      <c r="AV36" s="669"/>
      <c r="AW36" s="669">
        <f aca="true" t="shared" si="16" ref="AW36:AW38">AU36+AV36</f>
        <v>0</v>
      </c>
      <c r="AX36" s="670"/>
      <c r="AY36" s="670"/>
      <c r="AZ36" s="418"/>
      <c r="BA36" s="669"/>
      <c r="BB36" s="669"/>
      <c r="BC36" s="669">
        <f aca="true" t="shared" si="17" ref="BC36:BC38">BA36+BB36</f>
        <v>0</v>
      </c>
      <c r="BD36" s="670"/>
      <c r="BE36" s="670"/>
      <c r="BG36" s="672"/>
      <c r="BH36" s="689"/>
      <c r="BI36" s="689"/>
      <c r="BJ36" s="718"/>
      <c r="BL36" s="705"/>
      <c r="BM36" s="707"/>
      <c r="BN36" s="707"/>
      <c r="BO36" s="709"/>
    </row>
    <row r="37" spans="3:67" ht="15" customHeight="1" outlineLevel="1">
      <c r="C37" s="387" t="s">
        <v>149</v>
      </c>
      <c r="D37" s="388">
        <v>31</v>
      </c>
      <c r="E37" s="384"/>
      <c r="F37" s="672"/>
      <c r="G37" s="675"/>
      <c r="H37" s="675"/>
      <c r="I37" s="678"/>
      <c r="J37" s="384"/>
      <c r="K37" s="390"/>
      <c r="L37" s="430"/>
      <c r="M37" s="431"/>
      <c r="N37" s="390">
        <f t="shared" si="10"/>
        <v>0</v>
      </c>
      <c r="O37" s="431"/>
      <c r="P37" s="384"/>
      <c r="Q37" s="669"/>
      <c r="R37" s="669"/>
      <c r="S37" s="669">
        <f t="shared" si="11"/>
        <v>0</v>
      </c>
      <c r="T37" s="670"/>
      <c r="U37" s="670"/>
      <c r="W37" s="669"/>
      <c r="X37" s="669"/>
      <c r="Y37" s="669">
        <f t="shared" si="12"/>
        <v>0</v>
      </c>
      <c r="Z37" s="670"/>
      <c r="AA37" s="670"/>
      <c r="AB37" s="418"/>
      <c r="AC37" s="669"/>
      <c r="AD37" s="669"/>
      <c r="AE37" s="669">
        <f t="shared" si="13"/>
        <v>0</v>
      </c>
      <c r="AF37" s="670"/>
      <c r="AG37" s="670"/>
      <c r="AH37" s="418"/>
      <c r="AI37" s="669"/>
      <c r="AJ37" s="669"/>
      <c r="AK37" s="669">
        <f t="shared" si="14"/>
        <v>0</v>
      </c>
      <c r="AL37" s="670"/>
      <c r="AM37" s="670"/>
      <c r="AN37" s="418"/>
      <c r="AO37" s="669"/>
      <c r="AP37" s="669"/>
      <c r="AQ37" s="669">
        <f t="shared" si="15"/>
        <v>0</v>
      </c>
      <c r="AR37" s="670"/>
      <c r="AS37" s="670"/>
      <c r="AT37" s="418"/>
      <c r="AU37" s="669"/>
      <c r="AV37" s="669"/>
      <c r="AW37" s="669">
        <f t="shared" si="16"/>
        <v>0</v>
      </c>
      <c r="AX37" s="670"/>
      <c r="AY37" s="670"/>
      <c r="AZ37" s="418"/>
      <c r="BA37" s="669"/>
      <c r="BB37" s="669"/>
      <c r="BC37" s="669">
        <f t="shared" si="17"/>
        <v>0</v>
      </c>
      <c r="BD37" s="670"/>
      <c r="BE37" s="670"/>
      <c r="BG37" s="672"/>
      <c r="BH37" s="689"/>
      <c r="BI37" s="689"/>
      <c r="BJ37" s="718"/>
      <c r="BL37" s="705"/>
      <c r="BM37" s="707"/>
      <c r="BN37" s="707"/>
      <c r="BO37" s="709"/>
    </row>
    <row r="38" spans="3:67" ht="15" customHeight="1" outlineLevel="1">
      <c r="C38" s="387" t="s">
        <v>150</v>
      </c>
      <c r="D38" s="388">
        <v>30</v>
      </c>
      <c r="E38" s="384"/>
      <c r="F38" s="672"/>
      <c r="G38" s="675"/>
      <c r="H38" s="675"/>
      <c r="I38" s="678"/>
      <c r="J38" s="384"/>
      <c r="K38" s="390"/>
      <c r="L38" s="432"/>
      <c r="M38" s="433"/>
      <c r="N38" s="390">
        <f t="shared" si="10"/>
        <v>0</v>
      </c>
      <c r="O38" s="433"/>
      <c r="P38" s="384"/>
      <c r="Q38" s="669"/>
      <c r="R38" s="669"/>
      <c r="S38" s="669">
        <f t="shared" si="11"/>
        <v>0</v>
      </c>
      <c r="T38" s="670"/>
      <c r="U38" s="670"/>
      <c r="W38" s="669"/>
      <c r="X38" s="669"/>
      <c r="Y38" s="669">
        <f t="shared" si="12"/>
        <v>0</v>
      </c>
      <c r="Z38" s="670"/>
      <c r="AA38" s="670"/>
      <c r="AB38" s="418"/>
      <c r="AC38" s="669"/>
      <c r="AD38" s="669"/>
      <c r="AE38" s="669">
        <f t="shared" si="13"/>
        <v>0</v>
      </c>
      <c r="AF38" s="670"/>
      <c r="AG38" s="670"/>
      <c r="AH38" s="418"/>
      <c r="AI38" s="669"/>
      <c r="AJ38" s="669"/>
      <c r="AK38" s="669">
        <f t="shared" si="14"/>
        <v>0</v>
      </c>
      <c r="AL38" s="670"/>
      <c r="AM38" s="670"/>
      <c r="AN38" s="418"/>
      <c r="AO38" s="669"/>
      <c r="AP38" s="669"/>
      <c r="AQ38" s="669">
        <f t="shared" si="15"/>
        <v>0</v>
      </c>
      <c r="AR38" s="670"/>
      <c r="AS38" s="670"/>
      <c r="AT38" s="418"/>
      <c r="AU38" s="669"/>
      <c r="AV38" s="669"/>
      <c r="AW38" s="669">
        <f t="shared" si="16"/>
        <v>0</v>
      </c>
      <c r="AX38" s="670"/>
      <c r="AY38" s="670"/>
      <c r="AZ38" s="418"/>
      <c r="BA38" s="669"/>
      <c r="BB38" s="669"/>
      <c r="BC38" s="669">
        <f t="shared" si="17"/>
        <v>0</v>
      </c>
      <c r="BD38" s="670"/>
      <c r="BE38" s="670"/>
      <c r="BG38" s="672"/>
      <c r="BH38" s="689"/>
      <c r="BI38" s="689"/>
      <c r="BJ38" s="718"/>
      <c r="BL38" s="705"/>
      <c r="BM38" s="707"/>
      <c r="BN38" s="707"/>
      <c r="BO38" s="709"/>
    </row>
    <row r="39" spans="3:67" ht="15" customHeight="1" outlineLevel="1">
      <c r="C39" s="387" t="s">
        <v>151</v>
      </c>
      <c r="D39" s="388">
        <v>31</v>
      </c>
      <c r="E39" s="384"/>
      <c r="F39" s="672"/>
      <c r="G39" s="675"/>
      <c r="H39" s="675"/>
      <c r="I39" s="678"/>
      <c r="J39" s="384"/>
      <c r="K39" s="390"/>
      <c r="L39" s="430"/>
      <c r="M39" s="433"/>
      <c r="N39" s="390">
        <f t="shared" si="10"/>
        <v>0</v>
      </c>
      <c r="O39" s="433"/>
      <c r="P39" s="384"/>
      <c r="Q39" s="714">
        <v>2659.5</v>
      </c>
      <c r="R39" s="714">
        <v>684.7</v>
      </c>
      <c r="S39" s="714">
        <f>Q39+R39</f>
        <v>3344.2</v>
      </c>
      <c r="T39" s="714">
        <v>14016.77</v>
      </c>
      <c r="U39" s="714">
        <f>T39*1.21</f>
        <v>16960.2917</v>
      </c>
      <c r="W39" s="669">
        <v>9</v>
      </c>
      <c r="X39" s="669">
        <v>0</v>
      </c>
      <c r="Y39" s="669">
        <f>W39+X39</f>
        <v>9</v>
      </c>
      <c r="Z39" s="670">
        <f>12.73+344.03+24.05+4.46+198.77+0.84+41.28+0.25</f>
        <v>626.41</v>
      </c>
      <c r="AA39" s="670">
        <f>Z39*1.21</f>
        <v>757.9561</v>
      </c>
      <c r="AB39" s="418"/>
      <c r="AC39" s="669">
        <v>1786.6</v>
      </c>
      <c r="AD39" s="669">
        <v>490.8</v>
      </c>
      <c r="AE39" s="669">
        <f>AC39+AD39</f>
        <v>2277.4</v>
      </c>
      <c r="AF39" s="670">
        <f>3198.28+35.19+1127.31+2591.66+213.23+41.28+64.45</f>
        <v>7271.4</v>
      </c>
      <c r="AG39" s="670">
        <f>AF39*1.21</f>
        <v>8798.393999999998</v>
      </c>
      <c r="AH39" s="418"/>
      <c r="AI39" s="669">
        <f>454+148+714.5</f>
        <v>1316.5</v>
      </c>
      <c r="AJ39" s="669">
        <f>129.5+343.4</f>
        <v>472.9</v>
      </c>
      <c r="AK39" s="669">
        <f>AI39+AJ39</f>
        <v>1789.4</v>
      </c>
      <c r="AL39" s="670">
        <f>14987.7-AL49</f>
        <v>7912.050000000002</v>
      </c>
      <c r="AM39" s="670">
        <f>AL39*1.21</f>
        <v>9573.580500000002</v>
      </c>
      <c r="AN39" s="418"/>
      <c r="AO39" s="669">
        <f>26+180</f>
        <v>206</v>
      </c>
      <c r="AP39" s="669">
        <v>0</v>
      </c>
      <c r="AQ39" s="669">
        <f>AO39+AP39</f>
        <v>206</v>
      </c>
      <c r="AR39" s="670">
        <f>2508.4-AR49</f>
        <v>1514.7600000000002</v>
      </c>
      <c r="AS39" s="670">
        <f>AR39*1.21</f>
        <v>1832.8596000000002</v>
      </c>
      <c r="AT39" s="418"/>
      <c r="AU39" s="669">
        <v>14117</v>
      </c>
      <c r="AV39" s="669">
        <v>0</v>
      </c>
      <c r="AW39" s="669">
        <f>AU39+AV39</f>
        <v>14117</v>
      </c>
      <c r="AX39" s="670">
        <f>19961.44+344.03+30216.03+6987.92+2255.28+1321.77+41.28+399.51</f>
        <v>61527.259999999995</v>
      </c>
      <c r="AY39" s="670">
        <f>AX39*1.21</f>
        <v>74447.9846</v>
      </c>
      <c r="AZ39" s="418"/>
      <c r="BA39" s="669">
        <f>578+1954</f>
        <v>2532</v>
      </c>
      <c r="BB39" s="669">
        <v>0</v>
      </c>
      <c r="BC39" s="669">
        <f>BA39+BB39</f>
        <v>2532</v>
      </c>
      <c r="BD39" s="670">
        <f>18437.55-BD49</f>
        <v>11520.5</v>
      </c>
      <c r="BE39" s="670">
        <f>BD39*1.21</f>
        <v>13939.805</v>
      </c>
      <c r="BG39" s="672"/>
      <c r="BH39" s="689"/>
      <c r="BI39" s="689"/>
      <c r="BJ39" s="718"/>
      <c r="BL39" s="705"/>
      <c r="BM39" s="707"/>
      <c r="BN39" s="707"/>
      <c r="BO39" s="709"/>
    </row>
    <row r="40" spans="3:67" ht="15" customHeight="1" outlineLevel="1">
      <c r="C40" s="387" t="s">
        <v>152</v>
      </c>
      <c r="D40" s="388">
        <v>30</v>
      </c>
      <c r="E40" s="384"/>
      <c r="F40" s="673"/>
      <c r="G40" s="676"/>
      <c r="H40" s="676"/>
      <c r="I40" s="679"/>
      <c r="J40" s="384"/>
      <c r="K40" s="390"/>
      <c r="L40" s="430"/>
      <c r="M40" s="433"/>
      <c r="N40" s="390">
        <f t="shared" si="10"/>
        <v>0</v>
      </c>
      <c r="O40" s="433"/>
      <c r="P40" s="384"/>
      <c r="Q40" s="714"/>
      <c r="R40" s="714"/>
      <c r="S40" s="714"/>
      <c r="T40" s="714"/>
      <c r="U40" s="714"/>
      <c r="W40" s="669"/>
      <c r="X40" s="669"/>
      <c r="Y40" s="669"/>
      <c r="Z40" s="670"/>
      <c r="AA40" s="670"/>
      <c r="AB40" s="418"/>
      <c r="AC40" s="669"/>
      <c r="AD40" s="669"/>
      <c r="AE40" s="669">
        <f aca="true" t="shared" si="18" ref="AE40:AE44">AC40+AD40</f>
        <v>0</v>
      </c>
      <c r="AF40" s="670"/>
      <c r="AG40" s="670"/>
      <c r="AH40" s="418"/>
      <c r="AI40" s="669"/>
      <c r="AJ40" s="669"/>
      <c r="AK40" s="669">
        <f aca="true" t="shared" si="19" ref="AK40:AK44">AI40+AJ40</f>
        <v>0</v>
      </c>
      <c r="AL40" s="670"/>
      <c r="AM40" s="670"/>
      <c r="AN40" s="418"/>
      <c r="AO40" s="669"/>
      <c r="AP40" s="669"/>
      <c r="AQ40" s="669">
        <f aca="true" t="shared" si="20" ref="AQ40:AQ44">AO40+AP40</f>
        <v>0</v>
      </c>
      <c r="AR40" s="670"/>
      <c r="AS40" s="670"/>
      <c r="AT40" s="418"/>
      <c r="AU40" s="669"/>
      <c r="AV40" s="669"/>
      <c r="AW40" s="669">
        <f aca="true" t="shared" si="21" ref="AW40:AW44">AU40+AV40</f>
        <v>0</v>
      </c>
      <c r="AX40" s="670"/>
      <c r="AY40" s="670"/>
      <c r="AZ40" s="418"/>
      <c r="BA40" s="669"/>
      <c r="BB40" s="669"/>
      <c r="BC40" s="669">
        <f aca="true" t="shared" si="22" ref="BC40:BC44">BA40+BB40</f>
        <v>0</v>
      </c>
      <c r="BD40" s="670"/>
      <c r="BE40" s="670"/>
      <c r="BG40" s="672"/>
      <c r="BH40" s="689"/>
      <c r="BI40" s="689"/>
      <c r="BJ40" s="718"/>
      <c r="BL40" s="705"/>
      <c r="BM40" s="707"/>
      <c r="BN40" s="707"/>
      <c r="BO40" s="709"/>
    </row>
    <row r="41" spans="3:67" ht="15" customHeight="1" outlineLevel="1">
      <c r="C41" s="387" t="s">
        <v>153</v>
      </c>
      <c r="D41" s="388">
        <v>31</v>
      </c>
      <c r="E41" s="384"/>
      <c r="F41" s="671">
        <v>546.8</v>
      </c>
      <c r="G41" s="674">
        <f>F41*356.82</f>
        <v>195109.17599999998</v>
      </c>
      <c r="H41" s="674">
        <f>G41*1.15</f>
        <v>224375.55239999996</v>
      </c>
      <c r="I41" s="677">
        <f>H41/F41</f>
        <v>410.34299999999996</v>
      </c>
      <c r="J41" s="384"/>
      <c r="K41" s="390"/>
      <c r="L41" s="430"/>
      <c r="M41" s="433"/>
      <c r="N41" s="390">
        <f t="shared" si="10"/>
        <v>0</v>
      </c>
      <c r="O41" s="433"/>
      <c r="P41" s="384"/>
      <c r="Q41" s="715"/>
      <c r="R41" s="715"/>
      <c r="S41" s="715"/>
      <c r="T41" s="715"/>
      <c r="U41" s="715"/>
      <c r="W41" s="669"/>
      <c r="X41" s="669"/>
      <c r="Y41" s="669"/>
      <c r="Z41" s="670"/>
      <c r="AA41" s="670"/>
      <c r="AB41" s="418"/>
      <c r="AC41" s="669"/>
      <c r="AD41" s="669"/>
      <c r="AE41" s="669">
        <f t="shared" si="18"/>
        <v>0</v>
      </c>
      <c r="AF41" s="670"/>
      <c r="AG41" s="670"/>
      <c r="AH41" s="418"/>
      <c r="AI41" s="669"/>
      <c r="AJ41" s="669"/>
      <c r="AK41" s="669">
        <f t="shared" si="19"/>
        <v>0</v>
      </c>
      <c r="AL41" s="670"/>
      <c r="AM41" s="670"/>
      <c r="AN41" s="418"/>
      <c r="AO41" s="669"/>
      <c r="AP41" s="669"/>
      <c r="AQ41" s="669">
        <f t="shared" si="20"/>
        <v>0</v>
      </c>
      <c r="AR41" s="670"/>
      <c r="AS41" s="670"/>
      <c r="AT41" s="418"/>
      <c r="AU41" s="669"/>
      <c r="AV41" s="669"/>
      <c r="AW41" s="669">
        <f t="shared" si="21"/>
        <v>0</v>
      </c>
      <c r="AX41" s="670"/>
      <c r="AY41" s="670"/>
      <c r="AZ41" s="418"/>
      <c r="BA41" s="669"/>
      <c r="BB41" s="669"/>
      <c r="BC41" s="669">
        <f t="shared" si="22"/>
        <v>0</v>
      </c>
      <c r="BD41" s="670"/>
      <c r="BE41" s="670"/>
      <c r="BG41" s="672"/>
      <c r="BH41" s="689"/>
      <c r="BI41" s="689"/>
      <c r="BJ41" s="718"/>
      <c r="BL41" s="705"/>
      <c r="BM41" s="707"/>
      <c r="BN41" s="707"/>
      <c r="BO41" s="709"/>
    </row>
    <row r="42" spans="3:67" ht="15" customHeight="1" outlineLevel="1">
      <c r="C42" s="387" t="s">
        <v>154</v>
      </c>
      <c r="D42" s="388">
        <v>31</v>
      </c>
      <c r="E42" s="384"/>
      <c r="F42" s="672"/>
      <c r="G42" s="675"/>
      <c r="H42" s="675"/>
      <c r="I42" s="678"/>
      <c r="J42" s="384"/>
      <c r="K42" s="390"/>
      <c r="L42" s="430"/>
      <c r="M42" s="433"/>
      <c r="N42" s="390">
        <f t="shared" si="10"/>
        <v>0</v>
      </c>
      <c r="O42" s="433"/>
      <c r="P42" s="384"/>
      <c r="Q42" s="669">
        <v>6317.9</v>
      </c>
      <c r="R42" s="669">
        <v>1359.3</v>
      </c>
      <c r="S42" s="669">
        <f>Q42+R42</f>
        <v>7677.2</v>
      </c>
      <c r="T42" s="670">
        <f>9318.9+1276.38+337.58+11309.99+97.45+3800.21+4399.32+718.82+28.05+217.26</f>
        <v>31503.959999999995</v>
      </c>
      <c r="U42" s="670">
        <f>T42*1.21</f>
        <v>38119.7916</v>
      </c>
      <c r="W42" s="669"/>
      <c r="X42" s="669"/>
      <c r="Y42" s="669"/>
      <c r="Z42" s="670"/>
      <c r="AA42" s="670"/>
      <c r="AB42" s="418"/>
      <c r="AC42" s="669"/>
      <c r="AD42" s="669"/>
      <c r="AE42" s="669">
        <f t="shared" si="18"/>
        <v>0</v>
      </c>
      <c r="AF42" s="670"/>
      <c r="AG42" s="670"/>
      <c r="AH42" s="418"/>
      <c r="AI42" s="669"/>
      <c r="AJ42" s="669"/>
      <c r="AK42" s="669">
        <f t="shared" si="19"/>
        <v>0</v>
      </c>
      <c r="AL42" s="670"/>
      <c r="AM42" s="670"/>
      <c r="AN42" s="418"/>
      <c r="AO42" s="669"/>
      <c r="AP42" s="669"/>
      <c r="AQ42" s="669">
        <f t="shared" si="20"/>
        <v>0</v>
      </c>
      <c r="AR42" s="670"/>
      <c r="AS42" s="670"/>
      <c r="AT42" s="418"/>
      <c r="AU42" s="669"/>
      <c r="AV42" s="669"/>
      <c r="AW42" s="669">
        <f t="shared" si="21"/>
        <v>0</v>
      </c>
      <c r="AX42" s="670"/>
      <c r="AY42" s="670"/>
      <c r="AZ42" s="418"/>
      <c r="BA42" s="669"/>
      <c r="BB42" s="669"/>
      <c r="BC42" s="669">
        <f t="shared" si="22"/>
        <v>0</v>
      </c>
      <c r="BD42" s="670"/>
      <c r="BE42" s="670"/>
      <c r="BG42" s="672"/>
      <c r="BH42" s="689"/>
      <c r="BI42" s="689"/>
      <c r="BJ42" s="718"/>
      <c r="BL42" s="705"/>
      <c r="BM42" s="707"/>
      <c r="BN42" s="707"/>
      <c r="BO42" s="709"/>
    </row>
    <row r="43" spans="3:67" ht="15" customHeight="1" outlineLevel="1">
      <c r="C43" s="387" t="s">
        <v>155</v>
      </c>
      <c r="D43" s="388">
        <v>30</v>
      </c>
      <c r="E43" s="384"/>
      <c r="F43" s="672"/>
      <c r="G43" s="675"/>
      <c r="H43" s="675"/>
      <c r="I43" s="678"/>
      <c r="J43" s="384"/>
      <c r="K43" s="390"/>
      <c r="L43" s="430"/>
      <c r="M43" s="433"/>
      <c r="N43" s="390">
        <f t="shared" si="10"/>
        <v>0</v>
      </c>
      <c r="O43" s="433"/>
      <c r="P43" s="384"/>
      <c r="Q43" s="669"/>
      <c r="R43" s="669"/>
      <c r="S43" s="669"/>
      <c r="T43" s="670"/>
      <c r="U43" s="670"/>
      <c r="W43" s="669"/>
      <c r="X43" s="669"/>
      <c r="Y43" s="669"/>
      <c r="Z43" s="670"/>
      <c r="AA43" s="670"/>
      <c r="AB43" s="418"/>
      <c r="AC43" s="669"/>
      <c r="AD43" s="669"/>
      <c r="AE43" s="669">
        <f t="shared" si="18"/>
        <v>0</v>
      </c>
      <c r="AF43" s="670"/>
      <c r="AG43" s="670"/>
      <c r="AH43" s="418"/>
      <c r="AI43" s="669"/>
      <c r="AJ43" s="669"/>
      <c r="AK43" s="669">
        <f t="shared" si="19"/>
        <v>0</v>
      </c>
      <c r="AL43" s="670"/>
      <c r="AM43" s="670"/>
      <c r="AN43" s="418"/>
      <c r="AO43" s="669"/>
      <c r="AP43" s="669"/>
      <c r="AQ43" s="669">
        <f t="shared" si="20"/>
        <v>0</v>
      </c>
      <c r="AR43" s="670"/>
      <c r="AS43" s="670"/>
      <c r="AT43" s="418"/>
      <c r="AU43" s="669"/>
      <c r="AV43" s="669"/>
      <c r="AW43" s="669">
        <f t="shared" si="21"/>
        <v>0</v>
      </c>
      <c r="AX43" s="670"/>
      <c r="AY43" s="670"/>
      <c r="AZ43" s="418"/>
      <c r="BA43" s="669"/>
      <c r="BB43" s="669"/>
      <c r="BC43" s="669">
        <f t="shared" si="22"/>
        <v>0</v>
      </c>
      <c r="BD43" s="670"/>
      <c r="BE43" s="670"/>
      <c r="BG43" s="672"/>
      <c r="BH43" s="689"/>
      <c r="BI43" s="689"/>
      <c r="BJ43" s="718"/>
      <c r="BL43" s="705"/>
      <c r="BM43" s="707"/>
      <c r="BN43" s="707"/>
      <c r="BO43" s="709"/>
    </row>
    <row r="44" spans="3:67" ht="15" customHeight="1" outlineLevel="1">
      <c r="C44" s="387" t="s">
        <v>156</v>
      </c>
      <c r="D44" s="388">
        <v>31</v>
      </c>
      <c r="E44" s="384"/>
      <c r="F44" s="672"/>
      <c r="G44" s="675"/>
      <c r="H44" s="675"/>
      <c r="I44" s="678"/>
      <c r="J44" s="384"/>
      <c r="K44" s="390"/>
      <c r="L44" s="430"/>
      <c r="M44" s="433"/>
      <c r="N44" s="390">
        <f t="shared" si="10"/>
        <v>0</v>
      </c>
      <c r="O44" s="433"/>
      <c r="P44" s="384"/>
      <c r="Q44" s="669"/>
      <c r="R44" s="669"/>
      <c r="S44" s="669"/>
      <c r="T44" s="670"/>
      <c r="U44" s="670"/>
      <c r="W44" s="669"/>
      <c r="X44" s="669"/>
      <c r="Y44" s="669"/>
      <c r="Z44" s="670"/>
      <c r="AA44" s="670"/>
      <c r="AB44" s="418"/>
      <c r="AC44" s="669"/>
      <c r="AD44" s="669"/>
      <c r="AE44" s="669">
        <f t="shared" si="18"/>
        <v>0</v>
      </c>
      <c r="AF44" s="670"/>
      <c r="AG44" s="670"/>
      <c r="AH44" s="418"/>
      <c r="AI44" s="669"/>
      <c r="AJ44" s="669"/>
      <c r="AK44" s="669">
        <f t="shared" si="19"/>
        <v>0</v>
      </c>
      <c r="AL44" s="670"/>
      <c r="AM44" s="670"/>
      <c r="AN44" s="418"/>
      <c r="AO44" s="669"/>
      <c r="AP44" s="669"/>
      <c r="AQ44" s="669">
        <f t="shared" si="20"/>
        <v>0</v>
      </c>
      <c r="AR44" s="670"/>
      <c r="AS44" s="670"/>
      <c r="AT44" s="418"/>
      <c r="AU44" s="669"/>
      <c r="AV44" s="669"/>
      <c r="AW44" s="669">
        <f t="shared" si="21"/>
        <v>0</v>
      </c>
      <c r="AX44" s="670"/>
      <c r="AY44" s="670"/>
      <c r="AZ44" s="418"/>
      <c r="BA44" s="669"/>
      <c r="BB44" s="669"/>
      <c r="BC44" s="669">
        <f t="shared" si="22"/>
        <v>0</v>
      </c>
      <c r="BD44" s="670"/>
      <c r="BE44" s="670"/>
      <c r="BG44" s="673"/>
      <c r="BH44" s="690"/>
      <c r="BI44" s="690"/>
      <c r="BJ44" s="719"/>
      <c r="BL44" s="705"/>
      <c r="BM44" s="707"/>
      <c r="BN44" s="707"/>
      <c r="BO44" s="709"/>
    </row>
    <row r="45" spans="3:67" ht="15" customHeight="1" outlineLevel="1">
      <c r="C45" s="387" t="s">
        <v>157</v>
      </c>
      <c r="D45" s="388">
        <v>30</v>
      </c>
      <c r="E45" s="384"/>
      <c r="F45" s="672"/>
      <c r="G45" s="675"/>
      <c r="H45" s="675"/>
      <c r="I45" s="678"/>
      <c r="J45" s="384"/>
      <c r="K45" s="390"/>
      <c r="L45" s="430"/>
      <c r="M45" s="433"/>
      <c r="N45" s="390">
        <f t="shared" si="10"/>
        <v>0</v>
      </c>
      <c r="O45" s="433"/>
      <c r="P45" s="384"/>
      <c r="Q45" s="669"/>
      <c r="R45" s="669"/>
      <c r="S45" s="669"/>
      <c r="T45" s="670"/>
      <c r="U45" s="670"/>
      <c r="W45" s="669"/>
      <c r="X45" s="669"/>
      <c r="Y45" s="669"/>
      <c r="Z45" s="670"/>
      <c r="AA45" s="670"/>
      <c r="AB45" s="418"/>
      <c r="AC45" s="669"/>
      <c r="AD45" s="669"/>
      <c r="AE45" s="669"/>
      <c r="AF45" s="670"/>
      <c r="AG45" s="670"/>
      <c r="AH45" s="418"/>
      <c r="AI45" s="669"/>
      <c r="AJ45" s="669"/>
      <c r="AK45" s="669"/>
      <c r="AL45" s="670"/>
      <c r="AM45" s="670"/>
      <c r="AN45" s="418"/>
      <c r="AO45" s="669"/>
      <c r="AP45" s="669"/>
      <c r="AQ45" s="669"/>
      <c r="AR45" s="670"/>
      <c r="AS45" s="670"/>
      <c r="AT45" s="418"/>
      <c r="AU45" s="669"/>
      <c r="AV45" s="669"/>
      <c r="AW45" s="669"/>
      <c r="AX45" s="670"/>
      <c r="AY45" s="670"/>
      <c r="AZ45" s="418"/>
      <c r="BA45" s="669"/>
      <c r="BB45" s="669"/>
      <c r="BC45" s="669"/>
      <c r="BD45" s="670"/>
      <c r="BE45" s="670"/>
      <c r="BG45" s="686">
        <v>67</v>
      </c>
      <c r="BH45" s="688">
        <v>43.46</v>
      </c>
      <c r="BI45" s="688">
        <v>42.34</v>
      </c>
      <c r="BJ45" s="702">
        <f>1.15*BG45*(BH45+BI45)</f>
        <v>6610.89</v>
      </c>
      <c r="BL45" s="705"/>
      <c r="BM45" s="707"/>
      <c r="BN45" s="707"/>
      <c r="BO45" s="709"/>
    </row>
    <row r="46" spans="3:67" ht="15" customHeight="1" outlineLevel="1">
      <c r="C46" s="387" t="s">
        <v>158</v>
      </c>
      <c r="D46" s="388">
        <v>31</v>
      </c>
      <c r="E46" s="384"/>
      <c r="F46" s="673"/>
      <c r="G46" s="676"/>
      <c r="H46" s="676"/>
      <c r="I46" s="679"/>
      <c r="J46" s="384"/>
      <c r="K46" s="390"/>
      <c r="L46" s="430"/>
      <c r="M46" s="433"/>
      <c r="N46" s="390">
        <f t="shared" si="10"/>
        <v>0</v>
      </c>
      <c r="O46" s="433"/>
      <c r="P46" s="384"/>
      <c r="Q46" s="669"/>
      <c r="R46" s="669"/>
      <c r="S46" s="669"/>
      <c r="T46" s="670"/>
      <c r="U46" s="670"/>
      <c r="W46" s="669"/>
      <c r="X46" s="669"/>
      <c r="Y46" s="669"/>
      <c r="Z46" s="670"/>
      <c r="AA46" s="670"/>
      <c r="AB46" s="418"/>
      <c r="AC46" s="669"/>
      <c r="AD46" s="669"/>
      <c r="AE46" s="669">
        <f aca="true" t="shared" si="23" ref="AE46">AC46+AD46</f>
        <v>0</v>
      </c>
      <c r="AF46" s="670"/>
      <c r="AG46" s="670"/>
      <c r="AH46" s="418"/>
      <c r="AI46" s="669"/>
      <c r="AJ46" s="669"/>
      <c r="AK46" s="669">
        <f aca="true" t="shared" si="24" ref="AK46">AI46+AJ46</f>
        <v>0</v>
      </c>
      <c r="AL46" s="670"/>
      <c r="AM46" s="670"/>
      <c r="AN46" s="418"/>
      <c r="AO46" s="669"/>
      <c r="AP46" s="669"/>
      <c r="AQ46" s="669">
        <f aca="true" t="shared" si="25" ref="AQ46">AO46+AP46</f>
        <v>0</v>
      </c>
      <c r="AR46" s="670"/>
      <c r="AS46" s="670"/>
      <c r="AT46" s="418"/>
      <c r="AU46" s="669"/>
      <c r="AV46" s="669"/>
      <c r="AW46" s="669">
        <f aca="true" t="shared" si="26" ref="AW46">AU46+AV46</f>
        <v>0</v>
      </c>
      <c r="AX46" s="670"/>
      <c r="AY46" s="670"/>
      <c r="AZ46" s="418"/>
      <c r="BA46" s="669"/>
      <c r="BB46" s="669"/>
      <c r="BC46" s="669">
        <f aca="true" t="shared" si="27" ref="BC46">BA46+BB46</f>
        <v>0</v>
      </c>
      <c r="BD46" s="670"/>
      <c r="BE46" s="670"/>
      <c r="BG46" s="687"/>
      <c r="BH46" s="711"/>
      <c r="BI46" s="711"/>
      <c r="BJ46" s="721"/>
      <c r="BL46" s="720"/>
      <c r="BM46" s="712"/>
      <c r="BN46" s="712"/>
      <c r="BO46" s="713"/>
    </row>
    <row r="47" spans="6:67" ht="15">
      <c r="F47" s="419">
        <f>SUM(F35:F46)</f>
        <v>1339.49</v>
      </c>
      <c r="G47" s="420"/>
      <c r="H47" s="419">
        <f>SUM(H35:H46)</f>
        <v>549650.3450699999</v>
      </c>
      <c r="I47" s="420"/>
      <c r="J47" s="421"/>
      <c r="Q47" s="422"/>
      <c r="R47" s="422"/>
      <c r="S47" s="424">
        <f>SUM(S35:S46)</f>
        <v>18622.8</v>
      </c>
      <c r="T47" s="424">
        <f aca="true" t="shared" si="28" ref="T47:U47">SUM(T35:T46)</f>
        <v>75668.68</v>
      </c>
      <c r="U47" s="424">
        <f t="shared" si="28"/>
        <v>91559.1028</v>
      </c>
      <c r="V47" s="423"/>
      <c r="W47" s="422"/>
      <c r="X47" s="422"/>
      <c r="Y47" s="424">
        <f>SUM(Y35:Y46)</f>
        <v>16</v>
      </c>
      <c r="Z47" s="424">
        <f>SUM(Z35:Z46)</f>
        <v>992.0699999999998</v>
      </c>
      <c r="AA47" s="424">
        <f>SUM(AA35:AA46)</f>
        <v>1200.4046999999998</v>
      </c>
      <c r="AB47" s="423"/>
      <c r="AC47" s="422"/>
      <c r="AD47" s="422"/>
      <c r="AE47" s="424">
        <f>SUM(AE35:AE46)</f>
        <v>4020.5</v>
      </c>
      <c r="AF47" s="424">
        <f>SUM(AF35:AF46)</f>
        <v>14757.630000000001</v>
      </c>
      <c r="AG47" s="424">
        <f>SUM(AG35:AG46)</f>
        <v>17856.732299999996</v>
      </c>
      <c r="AH47" s="423"/>
      <c r="AI47" s="422"/>
      <c r="AJ47" s="422"/>
      <c r="AK47" s="424">
        <f>SUM(AK35:AK46)</f>
        <v>3354.4</v>
      </c>
      <c r="AL47" s="424">
        <f>SUM(AL35:AL46)</f>
        <v>14057.470000000001</v>
      </c>
      <c r="AM47" s="424">
        <f>SUM(AM35:AM46)</f>
        <v>17009.5387</v>
      </c>
      <c r="AN47" s="423"/>
      <c r="AO47" s="422"/>
      <c r="AP47" s="422"/>
      <c r="AQ47" s="424">
        <f>SUM(AQ35:AQ46)</f>
        <v>464</v>
      </c>
      <c r="AR47" s="424">
        <f>SUM(AR35:AR46)</f>
        <v>3039.1800000000007</v>
      </c>
      <c r="AS47" s="424">
        <f>SUM(AS35:AS46)</f>
        <v>3677.407800000001</v>
      </c>
      <c r="AT47" s="423"/>
      <c r="AU47" s="422"/>
      <c r="AV47" s="422"/>
      <c r="AW47" s="424">
        <f>SUM(AW35:AW46)</f>
        <v>23525</v>
      </c>
      <c r="AX47" s="424">
        <f>SUM(AX35:AX46)</f>
        <v>102275.35</v>
      </c>
      <c r="AY47" s="424">
        <f>SUM(AY35:AY46)</f>
        <v>123753.1735</v>
      </c>
      <c r="AZ47" s="423"/>
      <c r="BA47" s="422"/>
      <c r="BB47" s="422"/>
      <c r="BC47" s="424">
        <f>SUM(BC35:BC46)</f>
        <v>4208</v>
      </c>
      <c r="BD47" s="424">
        <f>SUM(BD35:BD46)</f>
        <v>19048.76</v>
      </c>
      <c r="BE47" s="424">
        <f>SUM(BE35:BE46)</f>
        <v>23048.999599999996</v>
      </c>
      <c r="BF47" s="423"/>
      <c r="BG47" s="419">
        <f>SUM(BG35:BG46)</f>
        <v>842</v>
      </c>
      <c r="BJ47" s="424">
        <f>SUM(BJ35:BJ46)</f>
        <v>83080.14</v>
      </c>
      <c r="BL47" s="425">
        <f>SUM(BL35:BL46)</f>
        <v>0</v>
      </c>
      <c r="BM47" s="385"/>
      <c r="BN47" s="385"/>
      <c r="BO47" s="426">
        <f>SUM(BO35:BO46)</f>
        <v>24637.646</v>
      </c>
    </row>
    <row r="48" spans="2:67" ht="15">
      <c r="B48" s="382"/>
      <c r="E48" s="421"/>
      <c r="J48" s="421"/>
      <c r="K48" s="420"/>
      <c r="L48" s="420"/>
      <c r="M48" s="434"/>
      <c r="N48" s="434"/>
      <c r="O48" s="434"/>
      <c r="P48" s="421"/>
      <c r="Q48" s="422"/>
      <c r="R48" s="422"/>
      <c r="S48" s="422"/>
      <c r="T48" s="422"/>
      <c r="U48" s="422"/>
      <c r="W48" s="422"/>
      <c r="X48" s="422"/>
      <c r="Y48" s="422"/>
      <c r="Z48" s="422"/>
      <c r="AA48" s="422"/>
      <c r="AB48" s="418"/>
      <c r="AC48" s="422"/>
      <c r="AD48" s="422"/>
      <c r="AE48" s="422"/>
      <c r="AF48" s="422"/>
      <c r="AG48" s="422"/>
      <c r="AH48" s="418"/>
      <c r="AI48" s="422"/>
      <c r="AJ48" s="422"/>
      <c r="AK48" s="422"/>
      <c r="AL48" s="422"/>
      <c r="AM48" s="422"/>
      <c r="AN48" s="418"/>
      <c r="AO48" s="422"/>
      <c r="AP48" s="422"/>
      <c r="AQ48" s="422"/>
      <c r="AR48" s="422"/>
      <c r="AS48" s="422"/>
      <c r="AT48" s="418"/>
      <c r="AU48" s="422"/>
      <c r="AV48" s="422"/>
      <c r="AW48" s="422"/>
      <c r="AX48" s="422"/>
      <c r="AY48" s="422"/>
      <c r="AZ48" s="418"/>
      <c r="BA48" s="422"/>
      <c r="BB48" s="422"/>
      <c r="BC48" s="422"/>
      <c r="BD48" s="422"/>
      <c r="BE48" s="422"/>
      <c r="BG48" s="409"/>
      <c r="BH48" s="413"/>
      <c r="BI48" s="413"/>
      <c r="BJ48" s="414"/>
      <c r="BL48" s="415"/>
      <c r="BM48" s="416"/>
      <c r="BN48" s="416"/>
      <c r="BO48" s="429"/>
    </row>
    <row r="49" spans="2:67" ht="15.75" customHeight="1" outlineLevel="1">
      <c r="B49" s="386">
        <f>B35+1</f>
        <v>2019</v>
      </c>
      <c r="C49" s="387" t="s">
        <v>147</v>
      </c>
      <c r="D49" s="388">
        <v>31</v>
      </c>
      <c r="E49" s="389"/>
      <c r="F49" s="671">
        <v>873.74</v>
      </c>
      <c r="G49" s="674">
        <f>318722.88</f>
        <v>318722.88</v>
      </c>
      <c r="H49" s="674">
        <f>G49*1.15</f>
        <v>366531.312</v>
      </c>
      <c r="I49" s="677">
        <f>H49/F49</f>
        <v>419.4970036853068</v>
      </c>
      <c r="J49" s="389"/>
      <c r="K49" s="390"/>
      <c r="L49" s="430"/>
      <c r="M49" s="431"/>
      <c r="N49" s="431"/>
      <c r="O49" s="431"/>
      <c r="P49" s="389"/>
      <c r="Q49" s="669">
        <v>5475.6</v>
      </c>
      <c r="R49" s="669">
        <v>1431</v>
      </c>
      <c r="S49" s="669">
        <f>Q49+R49</f>
        <v>6906.6</v>
      </c>
      <c r="T49" s="670">
        <f>59575.05-T42</f>
        <v>28071.090000000007</v>
      </c>
      <c r="U49" s="670">
        <f>T49*1.21</f>
        <v>33966.01890000001</v>
      </c>
      <c r="W49" s="669">
        <v>7</v>
      </c>
      <c r="X49" s="669">
        <v>0</v>
      </c>
      <c r="Y49" s="669">
        <f>W49+X49</f>
        <v>7</v>
      </c>
      <c r="Z49" s="670">
        <f>1024.22-Z39</f>
        <v>397.81000000000006</v>
      </c>
      <c r="AA49" s="670">
        <f>Z49*1.21</f>
        <v>481.35010000000005</v>
      </c>
      <c r="AB49" s="418"/>
      <c r="AC49" s="669">
        <v>1081.4</v>
      </c>
      <c r="AD49" s="669">
        <v>373.2</v>
      </c>
      <c r="AE49" s="669">
        <f>AC49+AD49</f>
        <v>1454.6000000000001</v>
      </c>
      <c r="AF49" s="670">
        <f>17748.46-AF39</f>
        <v>10477.06</v>
      </c>
      <c r="AG49" s="670">
        <f>AF49*1.21</f>
        <v>12677.2426</v>
      </c>
      <c r="AH49" s="418"/>
      <c r="AI49" s="669">
        <v>1224.5</v>
      </c>
      <c r="AJ49" s="669">
        <v>539.1</v>
      </c>
      <c r="AK49" s="669">
        <f>AI49+AJ49</f>
        <v>1763.6</v>
      </c>
      <c r="AL49" s="670">
        <f>1960.42+539.64+193.06+2294.5+52.95+872.98+948.09+134.37+29.73+49.91</f>
        <v>7075.649999999999</v>
      </c>
      <c r="AM49" s="670">
        <f>AL49*1.21</f>
        <v>8561.536499999998</v>
      </c>
      <c r="AN49" s="418"/>
      <c r="AO49" s="669">
        <v>138</v>
      </c>
      <c r="AP49" s="669">
        <v>0</v>
      </c>
      <c r="AQ49" s="669">
        <f>AO49+AP49</f>
        <v>138</v>
      </c>
      <c r="AR49" s="670">
        <f>195.13+193.06+381.45+68.31+111.54+10.51+29.73+3.91</f>
        <v>993.64</v>
      </c>
      <c r="AS49" s="670">
        <f>AR49*1.21</f>
        <v>1202.3044</v>
      </c>
      <c r="AT49" s="418"/>
      <c r="AU49" s="669">
        <v>8545</v>
      </c>
      <c r="AV49" s="669">
        <v>0</v>
      </c>
      <c r="AW49" s="669">
        <f>AU49+AV49</f>
        <v>8545</v>
      </c>
      <c r="AX49" s="670">
        <f>99421.29-AX39</f>
        <v>37894.03</v>
      </c>
      <c r="AY49" s="670">
        <f>AX49*1.21</f>
        <v>45851.7763</v>
      </c>
      <c r="AZ49" s="418"/>
      <c r="BA49" s="669">
        <v>1495</v>
      </c>
      <c r="BB49" s="669">
        <v>0</v>
      </c>
      <c r="BC49" s="669">
        <f>BA49+BB49</f>
        <v>1495</v>
      </c>
      <c r="BD49" s="670">
        <f>2113.93+193.06+3349.47+740.03+334.62+113.9+29.73+42.31</f>
        <v>6917.049999999998</v>
      </c>
      <c r="BE49" s="670">
        <f>BD49*1.21</f>
        <v>8369.630499999997</v>
      </c>
      <c r="BG49" s="686">
        <v>296</v>
      </c>
      <c r="BH49" s="688">
        <v>44.23</v>
      </c>
      <c r="BI49" s="688">
        <v>42.34</v>
      </c>
      <c r="BJ49" s="702">
        <f>BG49*(BH49+BI49)*1.15</f>
        <v>29468.427999999996</v>
      </c>
      <c r="BL49" s="704">
        <v>0</v>
      </c>
      <c r="BM49" s="704">
        <v>0</v>
      </c>
      <c r="BN49" s="706">
        <v>42.34</v>
      </c>
      <c r="BO49" s="708">
        <f>BN49*1.15*202.4</f>
        <v>9855.0584</v>
      </c>
    </row>
    <row r="50" spans="3:67" ht="15" customHeight="1" outlineLevel="1">
      <c r="C50" s="387" t="s">
        <v>148</v>
      </c>
      <c r="D50" s="388">
        <v>28</v>
      </c>
      <c r="E50" s="384"/>
      <c r="F50" s="672"/>
      <c r="G50" s="675"/>
      <c r="H50" s="675"/>
      <c r="I50" s="678"/>
      <c r="J50" s="384"/>
      <c r="K50" s="390"/>
      <c r="L50" s="430"/>
      <c r="M50" s="431"/>
      <c r="N50" s="431"/>
      <c r="O50" s="431"/>
      <c r="P50" s="384"/>
      <c r="Q50" s="669"/>
      <c r="R50" s="669"/>
      <c r="S50" s="669">
        <f aca="true" t="shared" si="29" ref="S50:S52">Q50+R50</f>
        <v>0</v>
      </c>
      <c r="T50" s="670"/>
      <c r="U50" s="670"/>
      <c r="W50" s="669"/>
      <c r="X50" s="669"/>
      <c r="Y50" s="669"/>
      <c r="Z50" s="670"/>
      <c r="AA50" s="670"/>
      <c r="AB50" s="418"/>
      <c r="AC50" s="669"/>
      <c r="AD50" s="669"/>
      <c r="AE50" s="669">
        <f aca="true" t="shared" si="30" ref="AE50:AE52">AC50+AD50</f>
        <v>0</v>
      </c>
      <c r="AF50" s="670"/>
      <c r="AG50" s="670"/>
      <c r="AH50" s="418"/>
      <c r="AI50" s="669"/>
      <c r="AJ50" s="669"/>
      <c r="AK50" s="669">
        <f aca="true" t="shared" si="31" ref="AK50:AK52">AI50+AJ50</f>
        <v>0</v>
      </c>
      <c r="AL50" s="670"/>
      <c r="AM50" s="670"/>
      <c r="AN50" s="418"/>
      <c r="AO50" s="669"/>
      <c r="AP50" s="669"/>
      <c r="AQ50" s="669">
        <f aca="true" t="shared" si="32" ref="AQ50:AQ52">AO50+AP50</f>
        <v>0</v>
      </c>
      <c r="AR50" s="670"/>
      <c r="AS50" s="670"/>
      <c r="AT50" s="418"/>
      <c r="AU50" s="669"/>
      <c r="AV50" s="669"/>
      <c r="AW50" s="669">
        <f aca="true" t="shared" si="33" ref="AW50:AW52">AU50+AV50</f>
        <v>0</v>
      </c>
      <c r="AX50" s="670"/>
      <c r="AY50" s="670"/>
      <c r="AZ50" s="418"/>
      <c r="BA50" s="669"/>
      <c r="BB50" s="669"/>
      <c r="BC50" s="669">
        <f aca="true" t="shared" si="34" ref="BC50:BC52">BA50+BB50</f>
        <v>0</v>
      </c>
      <c r="BD50" s="670"/>
      <c r="BE50" s="670"/>
      <c r="BG50" s="687"/>
      <c r="BH50" s="689"/>
      <c r="BI50" s="689"/>
      <c r="BJ50" s="703"/>
      <c r="BL50" s="705"/>
      <c r="BM50" s="705"/>
      <c r="BN50" s="707"/>
      <c r="BO50" s="709"/>
    </row>
    <row r="51" spans="3:67" ht="15" customHeight="1" outlineLevel="1">
      <c r="C51" s="387" t="s">
        <v>149</v>
      </c>
      <c r="D51" s="388">
        <v>31</v>
      </c>
      <c r="E51" s="384"/>
      <c r="F51" s="672"/>
      <c r="G51" s="675"/>
      <c r="H51" s="675"/>
      <c r="I51" s="678"/>
      <c r="J51" s="384"/>
      <c r="K51" s="430"/>
      <c r="L51" s="430"/>
      <c r="M51" s="431"/>
      <c r="N51" s="431"/>
      <c r="O51" s="431"/>
      <c r="P51" s="384"/>
      <c r="Q51" s="669"/>
      <c r="R51" s="669"/>
      <c r="S51" s="669">
        <f t="shared" si="29"/>
        <v>0</v>
      </c>
      <c r="T51" s="670"/>
      <c r="U51" s="670"/>
      <c r="W51" s="669"/>
      <c r="X51" s="669"/>
      <c r="Y51" s="669"/>
      <c r="Z51" s="670"/>
      <c r="AA51" s="670"/>
      <c r="AB51" s="418"/>
      <c r="AC51" s="669"/>
      <c r="AD51" s="669"/>
      <c r="AE51" s="669">
        <f t="shared" si="30"/>
        <v>0</v>
      </c>
      <c r="AF51" s="670"/>
      <c r="AG51" s="670"/>
      <c r="AH51" s="418"/>
      <c r="AI51" s="669"/>
      <c r="AJ51" s="669"/>
      <c r="AK51" s="669">
        <f t="shared" si="31"/>
        <v>0</v>
      </c>
      <c r="AL51" s="670"/>
      <c r="AM51" s="670"/>
      <c r="AN51" s="418"/>
      <c r="AO51" s="669"/>
      <c r="AP51" s="669"/>
      <c r="AQ51" s="669">
        <f t="shared" si="32"/>
        <v>0</v>
      </c>
      <c r="AR51" s="670"/>
      <c r="AS51" s="670"/>
      <c r="AT51" s="418"/>
      <c r="AU51" s="669"/>
      <c r="AV51" s="669"/>
      <c r="AW51" s="669">
        <f t="shared" si="33"/>
        <v>0</v>
      </c>
      <c r="AX51" s="670"/>
      <c r="AY51" s="670"/>
      <c r="AZ51" s="418"/>
      <c r="BA51" s="669"/>
      <c r="BB51" s="669"/>
      <c r="BC51" s="669">
        <f t="shared" si="34"/>
        <v>0</v>
      </c>
      <c r="BD51" s="670"/>
      <c r="BE51" s="670"/>
      <c r="BG51" s="687"/>
      <c r="BH51" s="689"/>
      <c r="BI51" s="689"/>
      <c r="BJ51" s="703"/>
      <c r="BL51" s="705"/>
      <c r="BM51" s="705"/>
      <c r="BN51" s="707"/>
      <c r="BO51" s="709"/>
    </row>
    <row r="52" spans="3:67" ht="15" customHeight="1" outlineLevel="1">
      <c r="C52" s="387" t="s">
        <v>150</v>
      </c>
      <c r="D52" s="388">
        <v>30</v>
      </c>
      <c r="E52" s="384"/>
      <c r="F52" s="672"/>
      <c r="G52" s="675"/>
      <c r="H52" s="675"/>
      <c r="I52" s="678"/>
      <c r="J52" s="384"/>
      <c r="K52" s="432"/>
      <c r="L52" s="432"/>
      <c r="M52" s="433"/>
      <c r="N52" s="431"/>
      <c r="O52" s="431"/>
      <c r="P52" s="384"/>
      <c r="Q52" s="669"/>
      <c r="R52" s="669"/>
      <c r="S52" s="669">
        <f t="shared" si="29"/>
        <v>0</v>
      </c>
      <c r="T52" s="670"/>
      <c r="U52" s="670"/>
      <c r="W52" s="669"/>
      <c r="X52" s="669"/>
      <c r="Y52" s="669"/>
      <c r="Z52" s="670"/>
      <c r="AA52" s="670"/>
      <c r="AB52" s="418"/>
      <c r="AC52" s="669"/>
      <c r="AD52" s="669"/>
      <c r="AE52" s="669">
        <f t="shared" si="30"/>
        <v>0</v>
      </c>
      <c r="AF52" s="670"/>
      <c r="AG52" s="670"/>
      <c r="AH52" s="418"/>
      <c r="AI52" s="669"/>
      <c r="AJ52" s="669"/>
      <c r="AK52" s="669">
        <f t="shared" si="31"/>
        <v>0</v>
      </c>
      <c r="AL52" s="670"/>
      <c r="AM52" s="670"/>
      <c r="AN52" s="418"/>
      <c r="AO52" s="669"/>
      <c r="AP52" s="669"/>
      <c r="AQ52" s="669">
        <f t="shared" si="32"/>
        <v>0</v>
      </c>
      <c r="AR52" s="670"/>
      <c r="AS52" s="670"/>
      <c r="AT52" s="418"/>
      <c r="AU52" s="669"/>
      <c r="AV52" s="669"/>
      <c r="AW52" s="669">
        <f t="shared" si="33"/>
        <v>0</v>
      </c>
      <c r="AX52" s="670"/>
      <c r="AY52" s="670"/>
      <c r="AZ52" s="418"/>
      <c r="BA52" s="669"/>
      <c r="BB52" s="669"/>
      <c r="BC52" s="669">
        <f t="shared" si="34"/>
        <v>0</v>
      </c>
      <c r="BD52" s="670"/>
      <c r="BE52" s="670"/>
      <c r="BG52" s="687"/>
      <c r="BH52" s="689"/>
      <c r="BI52" s="689"/>
      <c r="BJ52" s="703"/>
      <c r="BL52" s="705"/>
      <c r="BM52" s="705"/>
      <c r="BN52" s="707"/>
      <c r="BO52" s="709"/>
    </row>
    <row r="53" spans="3:67" ht="15" customHeight="1" outlineLevel="1">
      <c r="C53" s="387" t="s">
        <v>151</v>
      </c>
      <c r="D53" s="388">
        <v>31</v>
      </c>
      <c r="E53" s="384"/>
      <c r="F53" s="672"/>
      <c r="G53" s="675"/>
      <c r="H53" s="675"/>
      <c r="I53" s="678"/>
      <c r="J53" s="384"/>
      <c r="K53" s="430"/>
      <c r="L53" s="430"/>
      <c r="M53" s="433"/>
      <c r="N53" s="431"/>
      <c r="O53" s="431"/>
      <c r="P53" s="384"/>
      <c r="Q53" s="669">
        <v>8831.9</v>
      </c>
      <c r="R53" s="669">
        <v>1817.8</v>
      </c>
      <c r="S53" s="669">
        <f>Q53+R53</f>
        <v>10649.699999999999</v>
      </c>
      <c r="T53" s="670">
        <f>13027.05+1706.91+501.13+16549.48+178.54+5271.6+6831.06+811.4+53.43+301.39</f>
        <v>45231.99</v>
      </c>
      <c r="U53" s="670">
        <f>T53*1.21</f>
        <v>54730.707899999994</v>
      </c>
      <c r="W53" s="669">
        <v>3</v>
      </c>
      <c r="X53" s="669">
        <v>0</v>
      </c>
      <c r="Y53" s="669">
        <f>W53+X53</f>
        <v>3</v>
      </c>
      <c r="Z53" s="670">
        <f>4.24+0+346.94+8.29+1.49+254.43+0.23+53.43+0.08</f>
        <v>669.1300000000001</v>
      </c>
      <c r="AA53" s="670">
        <f>Z53*1.21</f>
        <v>809.6473000000001</v>
      </c>
      <c r="AB53" s="418"/>
      <c r="AC53" s="669">
        <v>1706.4</v>
      </c>
      <c r="AD53" s="669">
        <v>458.5</v>
      </c>
      <c r="AE53" s="669">
        <f>AC53+AD53</f>
        <v>2164.9</v>
      </c>
      <c r="AF53" s="670">
        <f>2731.95+458.96+346.94+3197.5+45.03+1071.63+2729.34+164.94+53.43+61.27</f>
        <v>10860.990000000002</v>
      </c>
      <c r="AG53" s="670">
        <f>AF53*1.21</f>
        <v>13141.797900000001</v>
      </c>
      <c r="AH53" s="418"/>
      <c r="AI53" s="669">
        <v>1483.4</v>
      </c>
      <c r="AJ53" s="669">
        <v>521.4</v>
      </c>
      <c r="AK53" s="669">
        <f>AI53+AJ53</f>
        <v>2004.8000000000002</v>
      </c>
      <c r="AL53" s="670">
        <f>2374.92+521.92+346.94+2779.64+51.21+992.38+1703.91+152.75+53.43+56.74</f>
        <v>9033.84</v>
      </c>
      <c r="AM53" s="670">
        <f>AL53*1.21</f>
        <v>10930.9464</v>
      </c>
      <c r="AN53" s="418"/>
      <c r="AO53" s="669">
        <v>233</v>
      </c>
      <c r="AP53" s="669">
        <v>0</v>
      </c>
      <c r="AQ53" s="669">
        <f>AO53+AP53</f>
        <v>233</v>
      </c>
      <c r="AR53" s="670">
        <f>329.46+0+346.94+644.05+115.34+200.46+17.75+53.43+6.59</f>
        <v>1714.0199999999998</v>
      </c>
      <c r="AS53" s="670">
        <f>AR53*1.21</f>
        <v>2073.9641999999994</v>
      </c>
      <c r="AT53" s="418"/>
      <c r="AU53" s="669">
        <f>3493+9922</f>
        <v>13415</v>
      </c>
      <c r="AV53" s="669">
        <v>0</v>
      </c>
      <c r="AW53" s="669">
        <f>AU53+AV53</f>
        <v>13415</v>
      </c>
      <c r="AX53" s="670">
        <f>4939.1+14029.71+123.39+223.55+30055.64+6640.43+2374.68+1022.09+53.43+98.85+280.79</f>
        <v>59841.659999999996</v>
      </c>
      <c r="AY53" s="670">
        <f>AX53*1.21</f>
        <v>72408.4086</v>
      </c>
      <c r="AZ53" s="418"/>
      <c r="BA53" s="669">
        <v>2858</v>
      </c>
      <c r="BB53" s="669">
        <v>0</v>
      </c>
      <c r="BC53" s="669">
        <f>BA53+BB53</f>
        <v>2858</v>
      </c>
      <c r="BD53" s="670">
        <f>4041.21+346.94+6403.21+1414.71+601.38+217.75+53.43+80.88</f>
        <v>13159.509999999998</v>
      </c>
      <c r="BE53" s="670">
        <f>BD53*1.21</f>
        <v>15923.007099999997</v>
      </c>
      <c r="BG53" s="687"/>
      <c r="BH53" s="690"/>
      <c r="BI53" s="689"/>
      <c r="BJ53" s="703"/>
      <c r="BL53" s="705"/>
      <c r="BM53" s="705"/>
      <c r="BN53" s="707"/>
      <c r="BO53" s="710"/>
    </row>
    <row r="54" spans="3:67" ht="15" customHeight="1" outlineLevel="1">
      <c r="C54" s="387" t="s">
        <v>152</v>
      </c>
      <c r="D54" s="388">
        <v>30</v>
      </c>
      <c r="E54" s="384"/>
      <c r="F54" s="673"/>
      <c r="G54" s="676"/>
      <c r="H54" s="676"/>
      <c r="I54" s="679"/>
      <c r="J54" s="384"/>
      <c r="K54" s="430"/>
      <c r="L54" s="430"/>
      <c r="M54" s="433"/>
      <c r="N54" s="431"/>
      <c r="O54" s="431"/>
      <c r="P54" s="384"/>
      <c r="Q54" s="669"/>
      <c r="R54" s="669"/>
      <c r="S54" s="669"/>
      <c r="T54" s="670"/>
      <c r="U54" s="670"/>
      <c r="W54" s="669"/>
      <c r="X54" s="669"/>
      <c r="Y54" s="669"/>
      <c r="Z54" s="670"/>
      <c r="AA54" s="670"/>
      <c r="AB54" s="418"/>
      <c r="AC54" s="669"/>
      <c r="AD54" s="669"/>
      <c r="AE54" s="669"/>
      <c r="AF54" s="670"/>
      <c r="AG54" s="670"/>
      <c r="AH54" s="418"/>
      <c r="AI54" s="669"/>
      <c r="AJ54" s="669"/>
      <c r="AK54" s="669"/>
      <c r="AL54" s="670"/>
      <c r="AM54" s="670"/>
      <c r="AN54" s="418"/>
      <c r="AO54" s="669"/>
      <c r="AP54" s="669"/>
      <c r="AQ54" s="669"/>
      <c r="AR54" s="670"/>
      <c r="AS54" s="670"/>
      <c r="AT54" s="418"/>
      <c r="AU54" s="669"/>
      <c r="AV54" s="669"/>
      <c r="AW54" s="669"/>
      <c r="AX54" s="670"/>
      <c r="AY54" s="670"/>
      <c r="AZ54" s="418"/>
      <c r="BA54" s="669"/>
      <c r="BB54" s="669"/>
      <c r="BC54" s="669"/>
      <c r="BD54" s="670"/>
      <c r="BE54" s="670"/>
      <c r="BG54" s="686">
        <v>313</v>
      </c>
      <c r="BH54" s="688">
        <v>44.23</v>
      </c>
      <c r="BI54" s="691">
        <v>42.34</v>
      </c>
      <c r="BJ54" s="694">
        <f>BG54*(BH54+BI54)*1.15</f>
        <v>31160.871499999994</v>
      </c>
      <c r="BK54" s="435"/>
      <c r="BL54" s="696">
        <v>0</v>
      </c>
      <c r="BM54" s="699">
        <v>0</v>
      </c>
      <c r="BN54" s="680">
        <v>42.34</v>
      </c>
      <c r="BO54" s="683">
        <f>258.825*1.15*BN54</f>
        <v>12602.448074999998</v>
      </c>
    </row>
    <row r="55" spans="3:67" ht="15" customHeight="1" outlineLevel="1">
      <c r="C55" s="387" t="s">
        <v>153</v>
      </c>
      <c r="D55" s="388">
        <v>31</v>
      </c>
      <c r="E55" s="384"/>
      <c r="F55" s="671">
        <v>442.49</v>
      </c>
      <c r="G55" s="674">
        <f>161411.5</f>
        <v>161411.5</v>
      </c>
      <c r="H55" s="674">
        <f>G55*1.15</f>
        <v>185623.22499999998</v>
      </c>
      <c r="I55" s="677">
        <f>H55/F55</f>
        <v>419.4969942823566</v>
      </c>
      <c r="J55" s="384"/>
      <c r="K55" s="430"/>
      <c r="L55" s="430"/>
      <c r="M55" s="433"/>
      <c r="N55" s="431"/>
      <c r="O55" s="431"/>
      <c r="P55" s="384"/>
      <c r="Q55" s="669"/>
      <c r="R55" s="669"/>
      <c r="S55" s="669"/>
      <c r="T55" s="670"/>
      <c r="U55" s="670"/>
      <c r="W55" s="669"/>
      <c r="X55" s="669"/>
      <c r="Y55" s="669"/>
      <c r="Z55" s="670"/>
      <c r="AA55" s="670"/>
      <c r="AB55" s="418"/>
      <c r="AC55" s="669"/>
      <c r="AD55" s="669"/>
      <c r="AE55" s="669"/>
      <c r="AF55" s="670"/>
      <c r="AG55" s="670"/>
      <c r="AH55" s="418"/>
      <c r="AI55" s="669"/>
      <c r="AJ55" s="669"/>
      <c r="AK55" s="669"/>
      <c r="AL55" s="670"/>
      <c r="AM55" s="670"/>
      <c r="AN55" s="418"/>
      <c r="AO55" s="669"/>
      <c r="AP55" s="669"/>
      <c r="AQ55" s="669"/>
      <c r="AR55" s="670"/>
      <c r="AS55" s="670"/>
      <c r="AT55" s="418"/>
      <c r="AU55" s="669"/>
      <c r="AV55" s="669"/>
      <c r="AW55" s="669"/>
      <c r="AX55" s="670"/>
      <c r="AY55" s="670"/>
      <c r="AZ55" s="418"/>
      <c r="BA55" s="669"/>
      <c r="BB55" s="669"/>
      <c r="BC55" s="669"/>
      <c r="BD55" s="670"/>
      <c r="BE55" s="670"/>
      <c r="BG55" s="687"/>
      <c r="BH55" s="689"/>
      <c r="BI55" s="692"/>
      <c r="BJ55" s="695"/>
      <c r="BK55" s="435"/>
      <c r="BL55" s="697"/>
      <c r="BM55" s="700"/>
      <c r="BN55" s="681"/>
      <c r="BO55" s="684"/>
    </row>
    <row r="56" spans="3:67" ht="15" customHeight="1" outlineLevel="1">
      <c r="C56" s="387" t="s">
        <v>154</v>
      </c>
      <c r="D56" s="388">
        <v>31</v>
      </c>
      <c r="E56" s="384"/>
      <c r="F56" s="672"/>
      <c r="G56" s="675"/>
      <c r="H56" s="675"/>
      <c r="I56" s="678"/>
      <c r="J56" s="384"/>
      <c r="K56" s="430"/>
      <c r="L56" s="430"/>
      <c r="M56" s="433"/>
      <c r="N56" s="431"/>
      <c r="O56" s="431"/>
      <c r="P56" s="384"/>
      <c r="Q56" s="669"/>
      <c r="R56" s="669"/>
      <c r="S56" s="669"/>
      <c r="T56" s="670"/>
      <c r="U56" s="670"/>
      <c r="W56" s="669"/>
      <c r="X56" s="669"/>
      <c r="Y56" s="669"/>
      <c r="Z56" s="670"/>
      <c r="AA56" s="670"/>
      <c r="AB56" s="418"/>
      <c r="AC56" s="669"/>
      <c r="AD56" s="669"/>
      <c r="AE56" s="669"/>
      <c r="AF56" s="670"/>
      <c r="AG56" s="670"/>
      <c r="AH56" s="418"/>
      <c r="AI56" s="669"/>
      <c r="AJ56" s="669"/>
      <c r="AK56" s="669"/>
      <c r="AL56" s="670"/>
      <c r="AM56" s="670"/>
      <c r="AN56" s="418"/>
      <c r="AO56" s="669"/>
      <c r="AP56" s="669"/>
      <c r="AQ56" s="669"/>
      <c r="AR56" s="670"/>
      <c r="AS56" s="670"/>
      <c r="AT56" s="418"/>
      <c r="AU56" s="669"/>
      <c r="AV56" s="669"/>
      <c r="AW56" s="669"/>
      <c r="AX56" s="670"/>
      <c r="AY56" s="670"/>
      <c r="AZ56" s="418"/>
      <c r="BA56" s="669"/>
      <c r="BB56" s="669"/>
      <c r="BC56" s="669"/>
      <c r="BD56" s="670"/>
      <c r="BE56" s="670"/>
      <c r="BG56" s="687"/>
      <c r="BH56" s="689"/>
      <c r="BI56" s="692"/>
      <c r="BJ56" s="695"/>
      <c r="BK56" s="435"/>
      <c r="BL56" s="697"/>
      <c r="BM56" s="700"/>
      <c r="BN56" s="681"/>
      <c r="BO56" s="684"/>
    </row>
    <row r="57" spans="3:67" ht="15" customHeight="1" outlineLevel="1">
      <c r="C57" s="387" t="s">
        <v>155</v>
      </c>
      <c r="D57" s="388">
        <v>30</v>
      </c>
      <c r="E57" s="384"/>
      <c r="F57" s="672"/>
      <c r="G57" s="675"/>
      <c r="H57" s="675"/>
      <c r="I57" s="678"/>
      <c r="J57" s="384"/>
      <c r="K57" s="430"/>
      <c r="L57" s="430"/>
      <c r="M57" s="433"/>
      <c r="N57" s="431"/>
      <c r="O57" s="431"/>
      <c r="P57" s="384"/>
      <c r="Q57" s="669"/>
      <c r="R57" s="669"/>
      <c r="S57" s="669"/>
      <c r="T57" s="670"/>
      <c r="U57" s="670"/>
      <c r="W57" s="669"/>
      <c r="X57" s="669"/>
      <c r="Y57" s="669"/>
      <c r="Z57" s="670"/>
      <c r="AA57" s="670"/>
      <c r="AB57" s="418"/>
      <c r="AC57" s="669"/>
      <c r="AD57" s="669"/>
      <c r="AE57" s="669"/>
      <c r="AF57" s="670"/>
      <c r="AG57" s="670"/>
      <c r="AH57" s="418"/>
      <c r="AI57" s="669"/>
      <c r="AJ57" s="669"/>
      <c r="AK57" s="669"/>
      <c r="AL57" s="670"/>
      <c r="AM57" s="670"/>
      <c r="AN57" s="418"/>
      <c r="AO57" s="669"/>
      <c r="AP57" s="669"/>
      <c r="AQ57" s="669"/>
      <c r="AR57" s="670"/>
      <c r="AS57" s="670"/>
      <c r="AT57" s="418"/>
      <c r="AU57" s="669"/>
      <c r="AV57" s="669"/>
      <c r="AW57" s="669"/>
      <c r="AX57" s="670"/>
      <c r="AY57" s="670"/>
      <c r="AZ57" s="418"/>
      <c r="BA57" s="669"/>
      <c r="BB57" s="669"/>
      <c r="BC57" s="669"/>
      <c r="BD57" s="670"/>
      <c r="BE57" s="670"/>
      <c r="BG57" s="687"/>
      <c r="BH57" s="689"/>
      <c r="BI57" s="692"/>
      <c r="BJ57" s="695"/>
      <c r="BK57" s="435"/>
      <c r="BL57" s="697"/>
      <c r="BM57" s="700"/>
      <c r="BN57" s="681"/>
      <c r="BO57" s="684"/>
    </row>
    <row r="58" spans="3:67" ht="15" customHeight="1" outlineLevel="1">
      <c r="C58" s="387" t="s">
        <v>156</v>
      </c>
      <c r="D58" s="388">
        <v>31</v>
      </c>
      <c r="E58" s="384"/>
      <c r="F58" s="672"/>
      <c r="G58" s="675"/>
      <c r="H58" s="675"/>
      <c r="I58" s="678"/>
      <c r="J58" s="384"/>
      <c r="K58" s="430"/>
      <c r="L58" s="430"/>
      <c r="M58" s="433"/>
      <c r="N58" s="433"/>
      <c r="O58" s="433"/>
      <c r="P58" s="384"/>
      <c r="Q58" s="669"/>
      <c r="R58" s="669"/>
      <c r="S58" s="669"/>
      <c r="T58" s="670"/>
      <c r="U58" s="670"/>
      <c r="W58" s="669"/>
      <c r="X58" s="669"/>
      <c r="Y58" s="669"/>
      <c r="Z58" s="670"/>
      <c r="AA58" s="670"/>
      <c r="AB58" s="418"/>
      <c r="AC58" s="669"/>
      <c r="AD58" s="669"/>
      <c r="AE58" s="669"/>
      <c r="AF58" s="670"/>
      <c r="AG58" s="670"/>
      <c r="AH58" s="418"/>
      <c r="AI58" s="669"/>
      <c r="AJ58" s="669"/>
      <c r="AK58" s="669"/>
      <c r="AL58" s="670"/>
      <c r="AM58" s="670"/>
      <c r="AN58" s="418"/>
      <c r="AO58" s="669"/>
      <c r="AP58" s="669"/>
      <c r="AQ58" s="669"/>
      <c r="AR58" s="670"/>
      <c r="AS58" s="670"/>
      <c r="AT58" s="418"/>
      <c r="AU58" s="669"/>
      <c r="AV58" s="669"/>
      <c r="AW58" s="669"/>
      <c r="AX58" s="670"/>
      <c r="AY58" s="670"/>
      <c r="AZ58" s="418"/>
      <c r="BA58" s="669"/>
      <c r="BB58" s="669"/>
      <c r="BC58" s="669"/>
      <c r="BD58" s="670"/>
      <c r="BE58" s="670"/>
      <c r="BG58" s="687"/>
      <c r="BH58" s="690"/>
      <c r="BI58" s="693"/>
      <c r="BJ58" s="695"/>
      <c r="BK58" s="435"/>
      <c r="BL58" s="698"/>
      <c r="BM58" s="701"/>
      <c r="BN58" s="682"/>
      <c r="BO58" s="685"/>
    </row>
    <row r="59" spans="3:67" ht="15" customHeight="1" outlineLevel="1">
      <c r="C59" s="387" t="s">
        <v>157</v>
      </c>
      <c r="D59" s="388">
        <v>30</v>
      </c>
      <c r="E59" s="384"/>
      <c r="F59" s="672"/>
      <c r="G59" s="675"/>
      <c r="H59" s="675"/>
      <c r="I59" s="678"/>
      <c r="J59" s="384"/>
      <c r="K59" s="430"/>
      <c r="L59" s="430"/>
      <c r="M59" s="433"/>
      <c r="N59" s="433"/>
      <c r="O59" s="433"/>
      <c r="P59" s="384"/>
      <c r="Q59" s="669"/>
      <c r="R59" s="669"/>
      <c r="S59" s="669"/>
      <c r="T59" s="670"/>
      <c r="U59" s="670"/>
      <c r="W59" s="669"/>
      <c r="X59" s="669"/>
      <c r="Y59" s="669"/>
      <c r="Z59" s="670"/>
      <c r="AA59" s="670"/>
      <c r="AB59" s="418"/>
      <c r="AC59" s="669"/>
      <c r="AD59" s="669"/>
      <c r="AE59" s="669"/>
      <c r="AF59" s="670"/>
      <c r="AG59" s="670"/>
      <c r="AH59" s="418"/>
      <c r="AI59" s="669"/>
      <c r="AJ59" s="669"/>
      <c r="AK59" s="669"/>
      <c r="AL59" s="670"/>
      <c r="AM59" s="670"/>
      <c r="AN59" s="418"/>
      <c r="AO59" s="669"/>
      <c r="AP59" s="669"/>
      <c r="AQ59" s="669"/>
      <c r="AR59" s="670"/>
      <c r="AS59" s="670"/>
      <c r="AT59" s="418"/>
      <c r="AU59" s="669"/>
      <c r="AV59" s="669"/>
      <c r="AW59" s="669"/>
      <c r="AX59" s="670"/>
      <c r="AY59" s="670"/>
      <c r="AZ59" s="418"/>
      <c r="BA59" s="669"/>
      <c r="BB59" s="669"/>
      <c r="BC59" s="669"/>
      <c r="BD59" s="670"/>
      <c r="BE59" s="670"/>
      <c r="BG59" s="436"/>
      <c r="BH59" s="437"/>
      <c r="BI59" s="438"/>
      <c r="BJ59" s="439"/>
      <c r="BK59" s="435"/>
      <c r="BL59" s="440"/>
      <c r="BM59" s="441"/>
      <c r="BN59" s="442"/>
      <c r="BO59" s="443"/>
    </row>
    <row r="60" spans="3:67" ht="15" customHeight="1" outlineLevel="1">
      <c r="C60" s="387" t="s">
        <v>158</v>
      </c>
      <c r="D60" s="388">
        <v>31</v>
      </c>
      <c r="E60" s="384"/>
      <c r="F60" s="673"/>
      <c r="G60" s="676"/>
      <c r="H60" s="676"/>
      <c r="I60" s="679"/>
      <c r="J60" s="384"/>
      <c r="K60" s="430"/>
      <c r="L60" s="430"/>
      <c r="M60" s="433"/>
      <c r="N60" s="433"/>
      <c r="O60" s="433"/>
      <c r="P60" s="384"/>
      <c r="Q60" s="669"/>
      <c r="R60" s="669"/>
      <c r="S60" s="669"/>
      <c r="T60" s="670"/>
      <c r="U60" s="670"/>
      <c r="W60" s="669"/>
      <c r="X60" s="669"/>
      <c r="Y60" s="669"/>
      <c r="Z60" s="670"/>
      <c r="AA60" s="670"/>
      <c r="AB60" s="418"/>
      <c r="AC60" s="669"/>
      <c r="AD60" s="669"/>
      <c r="AE60" s="669"/>
      <c r="AF60" s="670"/>
      <c r="AG60" s="670"/>
      <c r="AH60" s="418"/>
      <c r="AI60" s="669"/>
      <c r="AJ60" s="669"/>
      <c r="AK60" s="669"/>
      <c r="AL60" s="670"/>
      <c r="AM60" s="670"/>
      <c r="AN60" s="418"/>
      <c r="AO60" s="669"/>
      <c r="AP60" s="669"/>
      <c r="AQ60" s="669"/>
      <c r="AR60" s="670"/>
      <c r="AS60" s="670"/>
      <c r="AT60" s="418"/>
      <c r="AU60" s="669"/>
      <c r="AV60" s="669"/>
      <c r="AW60" s="669"/>
      <c r="AX60" s="670"/>
      <c r="AY60" s="670"/>
      <c r="AZ60" s="418"/>
      <c r="BA60" s="669"/>
      <c r="BB60" s="669"/>
      <c r="BC60" s="669"/>
      <c r="BD60" s="670"/>
      <c r="BE60" s="670"/>
      <c r="BG60" s="444"/>
      <c r="BH60" s="437"/>
      <c r="BI60" s="438"/>
      <c r="BJ60" s="445"/>
      <c r="BK60" s="435"/>
      <c r="BL60" s="446"/>
      <c r="BM60" s="441"/>
      <c r="BN60" s="442"/>
      <c r="BO60" s="443"/>
    </row>
    <row r="61" spans="6:67" ht="15">
      <c r="F61" s="419">
        <f>SUM(F49:F60)</f>
        <v>1316.23</v>
      </c>
      <c r="G61" s="420"/>
      <c r="H61" s="419">
        <f>SUM(H49:H60)</f>
        <v>552154.537</v>
      </c>
      <c r="Q61" s="447"/>
      <c r="R61" s="447"/>
      <c r="S61" s="424">
        <f>SUM(S49:S60)</f>
        <v>17556.3</v>
      </c>
      <c r="T61" s="419">
        <f>SUM(T49:T60)</f>
        <v>73303.08</v>
      </c>
      <c r="U61" s="419">
        <f>SUM(U49:U60)</f>
        <v>88696.7268</v>
      </c>
      <c r="W61" s="447"/>
      <c r="X61" s="422"/>
      <c r="Y61" s="424">
        <f>SUM(Y49:Y60)</f>
        <v>10</v>
      </c>
      <c r="Z61" s="419">
        <f>SUM(Z49:Z60)</f>
        <v>1066.94</v>
      </c>
      <c r="AA61" s="419">
        <f>SUM(AA49:AA60)</f>
        <v>1290.9974000000002</v>
      </c>
      <c r="AB61" s="418"/>
      <c r="AC61" s="422"/>
      <c r="AD61" s="422"/>
      <c r="AE61" s="424">
        <f>SUM(AE49:AE60)</f>
        <v>3619.5</v>
      </c>
      <c r="AF61" s="419">
        <f>SUM(AF49:AF60)</f>
        <v>21338.050000000003</v>
      </c>
      <c r="AG61" s="419">
        <f>SUM(AG49:AG60)</f>
        <v>25819.040500000003</v>
      </c>
      <c r="AH61" s="418"/>
      <c r="AI61" s="422"/>
      <c r="AJ61" s="422"/>
      <c r="AK61" s="424">
        <f>SUM(AK49:AK60)</f>
        <v>3768.4</v>
      </c>
      <c r="AL61" s="419">
        <f>SUM(AL49:AL60)</f>
        <v>16109.489999999998</v>
      </c>
      <c r="AM61" s="419">
        <f>SUM(AM49:AM60)</f>
        <v>19492.4829</v>
      </c>
      <c r="AN61" s="418"/>
      <c r="AO61" s="422"/>
      <c r="AP61" s="422"/>
      <c r="AQ61" s="424">
        <f>SUM(AQ49:AQ60)</f>
        <v>371</v>
      </c>
      <c r="AR61" s="419">
        <f>SUM(AR49:AR60)</f>
        <v>2707.66</v>
      </c>
      <c r="AS61" s="419">
        <f>SUM(AS49:AS60)</f>
        <v>3276.2685999999994</v>
      </c>
      <c r="AT61" s="418"/>
      <c r="AU61" s="422"/>
      <c r="AV61" s="422"/>
      <c r="AW61" s="424">
        <f>SUM(AW49:AW60)</f>
        <v>21960</v>
      </c>
      <c r="AX61" s="419">
        <f>SUM(AX49:AX60)</f>
        <v>97735.69</v>
      </c>
      <c r="AY61" s="419">
        <f>SUM(AY49:AY60)</f>
        <v>118260.1849</v>
      </c>
      <c r="AZ61" s="418"/>
      <c r="BA61" s="422"/>
      <c r="BB61" s="422"/>
      <c r="BC61" s="424">
        <f>SUM(BC49:BC60)</f>
        <v>4353</v>
      </c>
      <c r="BD61" s="419">
        <f>SUM(BD49:BD60)</f>
        <v>20076.559999999998</v>
      </c>
      <c r="BE61" s="419">
        <f>SUM(BE49:BE60)</f>
        <v>24292.637599999995</v>
      </c>
      <c r="BG61" s="419">
        <f>SUM(BG49:BG60)</f>
        <v>609</v>
      </c>
      <c r="BJ61" s="424">
        <f>SUM(BJ49:BJ60)</f>
        <v>60629.299499999994</v>
      </c>
      <c r="BL61" s="425">
        <f>SUM(BL49:BL60)</f>
        <v>0</v>
      </c>
      <c r="BM61" s="385"/>
      <c r="BN61" s="385"/>
      <c r="BO61" s="426">
        <f>SUM(BO49:BO60)</f>
        <v>22457.506475</v>
      </c>
    </row>
    <row r="62" spans="20:58" ht="15">
      <c r="T62" s="361"/>
      <c r="U62" s="361"/>
      <c r="Z62" s="361"/>
      <c r="AA62" s="361"/>
      <c r="AB62" s="360"/>
      <c r="AF62" s="361"/>
      <c r="AG62" s="361"/>
      <c r="AH62" s="360"/>
      <c r="AL62" s="361"/>
      <c r="AM62" s="361"/>
      <c r="AN62" s="360"/>
      <c r="AR62" s="361"/>
      <c r="AS62" s="361"/>
      <c r="AT62" s="360"/>
      <c r="AX62" s="361"/>
      <c r="AY62" s="361"/>
      <c r="AZ62" s="360"/>
      <c r="BD62" s="361"/>
      <c r="BE62" s="361"/>
      <c r="BF62" s="360"/>
    </row>
    <row r="63" spans="2:58" ht="15.75">
      <c r="B63" s="386">
        <v>2020</v>
      </c>
      <c r="C63" s="387" t="s">
        <v>147</v>
      </c>
      <c r="F63" s="671">
        <v>707.47</v>
      </c>
      <c r="G63" s="674">
        <v>259853.73</v>
      </c>
      <c r="H63" s="674">
        <f>G63*1.15</f>
        <v>298831.7895</v>
      </c>
      <c r="I63" s="677">
        <f>H63/F63</f>
        <v>422.3949983744894</v>
      </c>
      <c r="Q63" s="669">
        <v>5225.1</v>
      </c>
      <c r="R63" s="669">
        <v>1393.2</v>
      </c>
      <c r="S63" s="669">
        <f>Q63+R63</f>
        <v>6618.3</v>
      </c>
      <c r="T63" s="670">
        <f>72416.27-T53</f>
        <v>27184.280000000006</v>
      </c>
      <c r="U63" s="670">
        <f>T63*1.21</f>
        <v>32892.978800000004</v>
      </c>
      <c r="W63" s="669">
        <v>3</v>
      </c>
      <c r="X63" s="669">
        <v>0</v>
      </c>
      <c r="Y63" s="669">
        <f>W63+X63</f>
        <v>3</v>
      </c>
      <c r="Z63" s="670">
        <f>1111.51-Z53</f>
        <v>442.3799999999999</v>
      </c>
      <c r="AA63" s="670">
        <f>Z63*1.21</f>
        <v>535.2797999999998</v>
      </c>
      <c r="AB63" s="360"/>
      <c r="AC63" s="669">
        <f>858.2+151.4</f>
        <v>1009.6</v>
      </c>
      <c r="AD63" s="669">
        <f>298.8+52.7</f>
        <v>351.5</v>
      </c>
      <c r="AE63" s="669">
        <f>AC63+AD63</f>
        <v>1361.1</v>
      </c>
      <c r="AF63" s="670">
        <f>17432.89-AF53</f>
        <v>6571.899999999998</v>
      </c>
      <c r="AG63" s="670">
        <f>AF63*1.21</f>
        <v>7951.998999999997</v>
      </c>
      <c r="AH63" s="360"/>
      <c r="AI63" s="669">
        <f>746+131.6</f>
        <v>877.6</v>
      </c>
      <c r="AJ63" s="669">
        <f>339.7+59.9</f>
        <v>399.59999999999997</v>
      </c>
      <c r="AK63" s="669">
        <f>AI63+AJ63</f>
        <v>1277.2</v>
      </c>
      <c r="AL63" s="670">
        <f>14571.32-AL53</f>
        <v>5537.48</v>
      </c>
      <c r="AM63" s="670">
        <f>AL63*1.21</f>
        <v>6700.350799999999</v>
      </c>
      <c r="AN63" s="360"/>
      <c r="AO63" s="669">
        <f>115.4+22.6</f>
        <v>138</v>
      </c>
      <c r="AP63" s="669"/>
      <c r="AQ63" s="669">
        <f>AO63+AP63</f>
        <v>138</v>
      </c>
      <c r="AR63" s="670">
        <f>2767.2-AR53</f>
        <v>1053.18</v>
      </c>
      <c r="AS63" s="670">
        <f>AR63*1.21</f>
        <v>1274.3478</v>
      </c>
      <c r="AT63" s="360"/>
      <c r="AU63" s="669">
        <f>7376.7+1442.3</f>
        <v>8819</v>
      </c>
      <c r="AV63" s="669"/>
      <c r="AW63" s="669">
        <f>AU63+AV63</f>
        <v>8819</v>
      </c>
      <c r="AX63" s="670">
        <f>99883.98-AX53</f>
        <v>40042.32</v>
      </c>
      <c r="AY63" s="670">
        <f>AX63*1.21</f>
        <v>48451.2072</v>
      </c>
      <c r="AZ63" s="360"/>
      <c r="BA63" s="669">
        <f>1415.3+276.7</f>
        <v>1692</v>
      </c>
      <c r="BB63" s="669"/>
      <c r="BC63" s="669">
        <f>BA63+BB63</f>
        <v>1692</v>
      </c>
      <c r="BD63" s="670">
        <f>21115.86-BD53</f>
        <v>7956.350000000002</v>
      </c>
      <c r="BE63" s="670">
        <f>BD63*1.21</f>
        <v>9627.183500000003</v>
      </c>
      <c r="BF63" s="360"/>
    </row>
    <row r="64" spans="3:58" ht="15">
      <c r="C64" s="387" t="s">
        <v>148</v>
      </c>
      <c r="F64" s="672"/>
      <c r="G64" s="675"/>
      <c r="H64" s="675"/>
      <c r="I64" s="678"/>
      <c r="Q64" s="669"/>
      <c r="R64" s="669"/>
      <c r="S64" s="669"/>
      <c r="T64" s="670"/>
      <c r="U64" s="670"/>
      <c r="W64" s="669"/>
      <c r="X64" s="669"/>
      <c r="Y64" s="669"/>
      <c r="Z64" s="670"/>
      <c r="AA64" s="670"/>
      <c r="AB64" s="360"/>
      <c r="AC64" s="669"/>
      <c r="AD64" s="669"/>
      <c r="AE64" s="669"/>
      <c r="AF64" s="670"/>
      <c r="AG64" s="670"/>
      <c r="AH64" s="360"/>
      <c r="AI64" s="669"/>
      <c r="AJ64" s="669"/>
      <c r="AK64" s="669"/>
      <c r="AL64" s="670"/>
      <c r="AM64" s="670"/>
      <c r="AN64" s="360"/>
      <c r="AO64" s="669"/>
      <c r="AP64" s="669"/>
      <c r="AQ64" s="669"/>
      <c r="AR64" s="670"/>
      <c r="AS64" s="670"/>
      <c r="AT64" s="360"/>
      <c r="AU64" s="669"/>
      <c r="AV64" s="669"/>
      <c r="AW64" s="669"/>
      <c r="AX64" s="670"/>
      <c r="AY64" s="670"/>
      <c r="AZ64" s="360"/>
      <c r="BA64" s="669"/>
      <c r="BB64" s="669"/>
      <c r="BC64" s="669"/>
      <c r="BD64" s="670"/>
      <c r="BE64" s="670"/>
      <c r="BF64" s="360"/>
    </row>
    <row r="65" spans="3:58" ht="15">
      <c r="C65" s="387" t="s">
        <v>149</v>
      </c>
      <c r="F65" s="672"/>
      <c r="G65" s="675"/>
      <c r="H65" s="675"/>
      <c r="I65" s="678"/>
      <c r="Q65" s="669"/>
      <c r="R65" s="669"/>
      <c r="S65" s="669"/>
      <c r="T65" s="670"/>
      <c r="U65" s="670"/>
      <c r="W65" s="669"/>
      <c r="X65" s="669"/>
      <c r="Y65" s="669"/>
      <c r="Z65" s="670"/>
      <c r="AA65" s="670"/>
      <c r="AB65" s="360"/>
      <c r="AC65" s="669"/>
      <c r="AD65" s="669"/>
      <c r="AE65" s="669"/>
      <c r="AF65" s="670"/>
      <c r="AG65" s="670"/>
      <c r="AH65" s="360"/>
      <c r="AI65" s="669"/>
      <c r="AJ65" s="669"/>
      <c r="AK65" s="669"/>
      <c r="AL65" s="670"/>
      <c r="AM65" s="670"/>
      <c r="AN65" s="360"/>
      <c r="AO65" s="669"/>
      <c r="AP65" s="669"/>
      <c r="AQ65" s="669"/>
      <c r="AR65" s="670"/>
      <c r="AS65" s="670"/>
      <c r="AT65" s="360"/>
      <c r="AU65" s="669"/>
      <c r="AV65" s="669"/>
      <c r="AW65" s="669"/>
      <c r="AX65" s="670"/>
      <c r="AY65" s="670"/>
      <c r="AZ65" s="360"/>
      <c r="BA65" s="669"/>
      <c r="BB65" s="669"/>
      <c r="BC65" s="669"/>
      <c r="BD65" s="670"/>
      <c r="BE65" s="670"/>
      <c r="BF65" s="360"/>
    </row>
    <row r="66" spans="3:58" ht="15">
      <c r="C66" s="387" t="s">
        <v>150</v>
      </c>
      <c r="F66" s="672"/>
      <c r="G66" s="675"/>
      <c r="H66" s="675"/>
      <c r="I66" s="678"/>
      <c r="Q66" s="669"/>
      <c r="R66" s="669"/>
      <c r="S66" s="669"/>
      <c r="T66" s="670"/>
      <c r="U66" s="670"/>
      <c r="W66" s="669"/>
      <c r="X66" s="669"/>
      <c r="Y66" s="669"/>
      <c r="Z66" s="670"/>
      <c r="AA66" s="670"/>
      <c r="AB66" s="360"/>
      <c r="AC66" s="669"/>
      <c r="AD66" s="669"/>
      <c r="AE66" s="669"/>
      <c r="AF66" s="670"/>
      <c r="AG66" s="670"/>
      <c r="AH66" s="360"/>
      <c r="AI66" s="669"/>
      <c r="AJ66" s="669"/>
      <c r="AK66" s="669"/>
      <c r="AL66" s="670"/>
      <c r="AM66" s="670"/>
      <c r="AN66" s="360"/>
      <c r="AO66" s="669"/>
      <c r="AP66" s="669"/>
      <c r="AQ66" s="669"/>
      <c r="AR66" s="670"/>
      <c r="AS66" s="670"/>
      <c r="AT66" s="360"/>
      <c r="AU66" s="669"/>
      <c r="AV66" s="669"/>
      <c r="AW66" s="669"/>
      <c r="AX66" s="670"/>
      <c r="AY66" s="670"/>
      <c r="AZ66" s="360"/>
      <c r="BA66" s="669"/>
      <c r="BB66" s="669"/>
      <c r="BC66" s="669"/>
      <c r="BD66" s="670"/>
      <c r="BE66" s="670"/>
      <c r="BF66" s="360"/>
    </row>
    <row r="67" spans="3:58" ht="15">
      <c r="C67" s="387" t="s">
        <v>151</v>
      </c>
      <c r="F67" s="672"/>
      <c r="G67" s="675"/>
      <c r="H67" s="675"/>
      <c r="I67" s="678"/>
      <c r="Q67" s="669"/>
      <c r="R67" s="669">
        <v>0</v>
      </c>
      <c r="S67" s="669">
        <f>Q67+R67</f>
        <v>0</v>
      </c>
      <c r="T67" s="670"/>
      <c r="U67" s="670">
        <f>T67*1.21</f>
        <v>0</v>
      </c>
      <c r="W67" s="669"/>
      <c r="X67" s="669">
        <v>0</v>
      </c>
      <c r="Y67" s="669">
        <f>W67+X67</f>
        <v>0</v>
      </c>
      <c r="Z67" s="670"/>
      <c r="AA67" s="670">
        <f>Z67*1.21</f>
        <v>0</v>
      </c>
      <c r="AB67" s="360"/>
      <c r="AC67" s="669"/>
      <c r="AD67" s="669">
        <v>0</v>
      </c>
      <c r="AE67" s="669">
        <f>AC67+AD67</f>
        <v>0</v>
      </c>
      <c r="AF67" s="670"/>
      <c r="AG67" s="670">
        <f>AF67*1.21</f>
        <v>0</v>
      </c>
      <c r="AH67" s="360"/>
      <c r="AI67" s="669"/>
      <c r="AJ67" s="669">
        <v>0</v>
      </c>
      <c r="AK67" s="669">
        <f>AI67+AJ67</f>
        <v>0</v>
      </c>
      <c r="AL67" s="670"/>
      <c r="AM67" s="670">
        <f>AL67*1.21</f>
        <v>0</v>
      </c>
      <c r="AN67" s="360"/>
      <c r="AO67" s="669"/>
      <c r="AP67" s="669">
        <v>0</v>
      </c>
      <c r="AQ67" s="669">
        <f>AO67+AP67</f>
        <v>0</v>
      </c>
      <c r="AR67" s="670"/>
      <c r="AS67" s="670">
        <f>AR67*1.21</f>
        <v>0</v>
      </c>
      <c r="AT67" s="360"/>
      <c r="AU67" s="669"/>
      <c r="AV67" s="669">
        <v>0</v>
      </c>
      <c r="AW67" s="669">
        <f>AU67+AV67</f>
        <v>0</v>
      </c>
      <c r="AX67" s="670"/>
      <c r="AY67" s="670">
        <f>AX67*1.21</f>
        <v>0</v>
      </c>
      <c r="AZ67" s="360"/>
      <c r="BA67" s="669"/>
      <c r="BB67" s="669">
        <v>0</v>
      </c>
      <c r="BC67" s="669">
        <f>BA67+BB67</f>
        <v>0</v>
      </c>
      <c r="BD67" s="670"/>
      <c r="BE67" s="670">
        <f>BD67*1.21</f>
        <v>0</v>
      </c>
      <c r="BF67" s="360"/>
    </row>
    <row r="68" spans="3:58" ht="15">
      <c r="C68" s="387" t="s">
        <v>152</v>
      </c>
      <c r="F68" s="673"/>
      <c r="G68" s="676"/>
      <c r="H68" s="676"/>
      <c r="I68" s="679"/>
      <c r="Q68" s="669"/>
      <c r="R68" s="669"/>
      <c r="S68" s="669"/>
      <c r="T68" s="670"/>
      <c r="U68" s="670"/>
      <c r="W68" s="669"/>
      <c r="X68" s="669"/>
      <c r="Y68" s="669"/>
      <c r="Z68" s="670"/>
      <c r="AA68" s="670"/>
      <c r="AB68" s="360"/>
      <c r="AC68" s="669"/>
      <c r="AD68" s="669"/>
      <c r="AE68" s="669"/>
      <c r="AF68" s="670"/>
      <c r="AG68" s="670"/>
      <c r="AH68" s="360"/>
      <c r="AI68" s="669"/>
      <c r="AJ68" s="669"/>
      <c r="AK68" s="669"/>
      <c r="AL68" s="670"/>
      <c r="AM68" s="670"/>
      <c r="AN68" s="360"/>
      <c r="AO68" s="669"/>
      <c r="AP68" s="669"/>
      <c r="AQ68" s="669"/>
      <c r="AR68" s="670"/>
      <c r="AS68" s="670"/>
      <c r="AT68" s="360"/>
      <c r="AU68" s="669"/>
      <c r="AV68" s="669"/>
      <c r="AW68" s="669"/>
      <c r="AX68" s="670"/>
      <c r="AY68" s="670"/>
      <c r="AZ68" s="360"/>
      <c r="BA68" s="669"/>
      <c r="BB68" s="669"/>
      <c r="BC68" s="669"/>
      <c r="BD68" s="670"/>
      <c r="BE68" s="670"/>
      <c r="BF68" s="360"/>
    </row>
    <row r="69" spans="3:58" ht="15">
      <c r="C69" s="387" t="s">
        <v>153</v>
      </c>
      <c r="F69" s="671"/>
      <c r="G69" s="674"/>
      <c r="H69" s="674">
        <f>G69*1.15</f>
        <v>0</v>
      </c>
      <c r="I69" s="677" t="e">
        <f>H69/F69</f>
        <v>#DIV/0!</v>
      </c>
      <c r="Q69" s="669"/>
      <c r="R69" s="669"/>
      <c r="S69" s="669"/>
      <c r="T69" s="670"/>
      <c r="U69" s="670"/>
      <c r="W69" s="669"/>
      <c r="X69" s="669"/>
      <c r="Y69" s="669"/>
      <c r="Z69" s="670"/>
      <c r="AA69" s="670"/>
      <c r="AB69" s="360"/>
      <c r="AC69" s="669"/>
      <c r="AD69" s="669"/>
      <c r="AE69" s="669"/>
      <c r="AF69" s="670"/>
      <c r="AG69" s="670"/>
      <c r="AH69" s="360"/>
      <c r="AI69" s="669"/>
      <c r="AJ69" s="669"/>
      <c r="AK69" s="669"/>
      <c r="AL69" s="670"/>
      <c r="AM69" s="670"/>
      <c r="AN69" s="360"/>
      <c r="AO69" s="669"/>
      <c r="AP69" s="669"/>
      <c r="AQ69" s="669"/>
      <c r="AR69" s="670"/>
      <c r="AS69" s="670"/>
      <c r="AT69" s="360"/>
      <c r="AU69" s="669"/>
      <c r="AV69" s="669"/>
      <c r="AW69" s="669"/>
      <c r="AX69" s="670"/>
      <c r="AY69" s="670"/>
      <c r="AZ69" s="360"/>
      <c r="BA69" s="669"/>
      <c r="BB69" s="669"/>
      <c r="BC69" s="669"/>
      <c r="BD69" s="670"/>
      <c r="BE69" s="670"/>
      <c r="BF69" s="360"/>
    </row>
    <row r="70" spans="3:58" ht="15">
      <c r="C70" s="387" t="s">
        <v>154</v>
      </c>
      <c r="F70" s="672"/>
      <c r="G70" s="675"/>
      <c r="H70" s="675"/>
      <c r="I70" s="678"/>
      <c r="Q70" s="669"/>
      <c r="R70" s="669"/>
      <c r="S70" s="669"/>
      <c r="T70" s="670"/>
      <c r="U70" s="670"/>
      <c r="W70" s="669"/>
      <c r="X70" s="669"/>
      <c r="Y70" s="669"/>
      <c r="Z70" s="670"/>
      <c r="AA70" s="670"/>
      <c r="AB70" s="360"/>
      <c r="AC70" s="669"/>
      <c r="AD70" s="669"/>
      <c r="AE70" s="669"/>
      <c r="AF70" s="670"/>
      <c r="AG70" s="670"/>
      <c r="AH70" s="360"/>
      <c r="AI70" s="669"/>
      <c r="AJ70" s="669"/>
      <c r="AK70" s="669"/>
      <c r="AL70" s="670"/>
      <c r="AM70" s="670"/>
      <c r="AN70" s="360"/>
      <c r="AO70" s="669"/>
      <c r="AP70" s="669"/>
      <c r="AQ70" s="669"/>
      <c r="AR70" s="670"/>
      <c r="AS70" s="670"/>
      <c r="AT70" s="360"/>
      <c r="AU70" s="669"/>
      <c r="AV70" s="669"/>
      <c r="AW70" s="669"/>
      <c r="AX70" s="670"/>
      <c r="AY70" s="670"/>
      <c r="AZ70" s="360"/>
      <c r="BA70" s="669"/>
      <c r="BB70" s="669"/>
      <c r="BC70" s="669"/>
      <c r="BD70" s="670"/>
      <c r="BE70" s="670"/>
      <c r="BF70" s="360"/>
    </row>
    <row r="71" spans="3:58" ht="15">
      <c r="C71" s="387" t="s">
        <v>155</v>
      </c>
      <c r="F71" s="672"/>
      <c r="G71" s="675"/>
      <c r="H71" s="675"/>
      <c r="I71" s="678"/>
      <c r="Q71" s="669"/>
      <c r="R71" s="669"/>
      <c r="S71" s="669"/>
      <c r="T71" s="670"/>
      <c r="U71" s="670"/>
      <c r="W71" s="669"/>
      <c r="X71" s="669"/>
      <c r="Y71" s="669"/>
      <c r="Z71" s="670"/>
      <c r="AA71" s="670"/>
      <c r="AB71" s="360"/>
      <c r="AC71" s="669"/>
      <c r="AD71" s="669"/>
      <c r="AE71" s="669"/>
      <c r="AF71" s="670"/>
      <c r="AG71" s="670"/>
      <c r="AH71" s="360"/>
      <c r="AI71" s="669"/>
      <c r="AJ71" s="669"/>
      <c r="AK71" s="669"/>
      <c r="AL71" s="670"/>
      <c r="AM71" s="670"/>
      <c r="AN71" s="360"/>
      <c r="AO71" s="669"/>
      <c r="AP71" s="669"/>
      <c r="AQ71" s="669"/>
      <c r="AR71" s="670"/>
      <c r="AS71" s="670"/>
      <c r="AT71" s="360"/>
      <c r="AU71" s="669"/>
      <c r="AV71" s="669"/>
      <c r="AW71" s="669"/>
      <c r="AX71" s="670"/>
      <c r="AY71" s="670"/>
      <c r="AZ71" s="360"/>
      <c r="BA71" s="669"/>
      <c r="BB71" s="669"/>
      <c r="BC71" s="669"/>
      <c r="BD71" s="670"/>
      <c r="BE71" s="670"/>
      <c r="BF71" s="360"/>
    </row>
    <row r="72" spans="3:58" ht="15">
      <c r="C72" s="387" t="s">
        <v>156</v>
      </c>
      <c r="F72" s="672"/>
      <c r="G72" s="675"/>
      <c r="H72" s="675"/>
      <c r="I72" s="678"/>
      <c r="Q72" s="669"/>
      <c r="R72" s="669"/>
      <c r="S72" s="669"/>
      <c r="T72" s="670"/>
      <c r="U72" s="670"/>
      <c r="W72" s="669"/>
      <c r="X72" s="669"/>
      <c r="Y72" s="669"/>
      <c r="Z72" s="670"/>
      <c r="AA72" s="670"/>
      <c r="AB72" s="360"/>
      <c r="AC72" s="669"/>
      <c r="AD72" s="669"/>
      <c r="AE72" s="669"/>
      <c r="AF72" s="670"/>
      <c r="AG72" s="670"/>
      <c r="AH72" s="360"/>
      <c r="AI72" s="669"/>
      <c r="AJ72" s="669"/>
      <c r="AK72" s="669"/>
      <c r="AL72" s="670"/>
      <c r="AM72" s="670"/>
      <c r="AN72" s="360"/>
      <c r="AO72" s="669"/>
      <c r="AP72" s="669"/>
      <c r="AQ72" s="669"/>
      <c r="AR72" s="670"/>
      <c r="AS72" s="670"/>
      <c r="AT72" s="360"/>
      <c r="AU72" s="669"/>
      <c r="AV72" s="669"/>
      <c r="AW72" s="669"/>
      <c r="AX72" s="670"/>
      <c r="AY72" s="670"/>
      <c r="AZ72" s="360"/>
      <c r="BA72" s="669"/>
      <c r="BB72" s="669"/>
      <c r="BC72" s="669"/>
      <c r="BD72" s="670"/>
      <c r="BE72" s="670"/>
      <c r="BF72" s="360"/>
    </row>
    <row r="73" spans="3:58" ht="15">
      <c r="C73" s="387" t="s">
        <v>157</v>
      </c>
      <c r="F73" s="672"/>
      <c r="G73" s="675"/>
      <c r="H73" s="675"/>
      <c r="I73" s="678"/>
      <c r="Q73" s="669"/>
      <c r="R73" s="669"/>
      <c r="S73" s="669"/>
      <c r="T73" s="670"/>
      <c r="U73" s="670"/>
      <c r="W73" s="669"/>
      <c r="X73" s="669"/>
      <c r="Y73" s="669"/>
      <c r="Z73" s="670"/>
      <c r="AA73" s="670"/>
      <c r="AB73" s="360"/>
      <c r="AC73" s="669"/>
      <c r="AD73" s="669"/>
      <c r="AE73" s="669"/>
      <c r="AF73" s="670"/>
      <c r="AG73" s="670"/>
      <c r="AH73" s="360"/>
      <c r="AI73" s="669"/>
      <c r="AJ73" s="669"/>
      <c r="AK73" s="669"/>
      <c r="AL73" s="670"/>
      <c r="AM73" s="670"/>
      <c r="AN73" s="360"/>
      <c r="AO73" s="669"/>
      <c r="AP73" s="669"/>
      <c r="AQ73" s="669"/>
      <c r="AR73" s="670"/>
      <c r="AS73" s="670"/>
      <c r="AT73" s="360"/>
      <c r="AU73" s="669"/>
      <c r="AV73" s="669"/>
      <c r="AW73" s="669"/>
      <c r="AX73" s="670"/>
      <c r="AY73" s="670"/>
      <c r="AZ73" s="360"/>
      <c r="BA73" s="669"/>
      <c r="BB73" s="669"/>
      <c r="BC73" s="669"/>
      <c r="BD73" s="670"/>
      <c r="BE73" s="670"/>
      <c r="BF73" s="360"/>
    </row>
    <row r="74" spans="3:58" ht="15">
      <c r="C74" s="387" t="s">
        <v>158</v>
      </c>
      <c r="F74" s="673"/>
      <c r="G74" s="676"/>
      <c r="H74" s="676"/>
      <c r="I74" s="679"/>
      <c r="Q74" s="669"/>
      <c r="R74" s="669"/>
      <c r="S74" s="669"/>
      <c r="T74" s="670"/>
      <c r="U74" s="670"/>
      <c r="W74" s="669"/>
      <c r="X74" s="669"/>
      <c r="Y74" s="669"/>
      <c r="Z74" s="670"/>
      <c r="AA74" s="670"/>
      <c r="AB74" s="360"/>
      <c r="AC74" s="669"/>
      <c r="AD74" s="669"/>
      <c r="AE74" s="669"/>
      <c r="AF74" s="670"/>
      <c r="AG74" s="670"/>
      <c r="AH74" s="360"/>
      <c r="AI74" s="669"/>
      <c r="AJ74" s="669"/>
      <c r="AK74" s="669"/>
      <c r="AL74" s="670"/>
      <c r="AM74" s="670"/>
      <c r="AN74" s="360"/>
      <c r="AO74" s="669"/>
      <c r="AP74" s="669"/>
      <c r="AQ74" s="669"/>
      <c r="AR74" s="670"/>
      <c r="AS74" s="670"/>
      <c r="AT74" s="360"/>
      <c r="AU74" s="669"/>
      <c r="AV74" s="669"/>
      <c r="AW74" s="669"/>
      <c r="AX74" s="670"/>
      <c r="AY74" s="670"/>
      <c r="AZ74" s="360"/>
      <c r="BA74" s="669"/>
      <c r="BB74" s="669"/>
      <c r="BC74" s="669"/>
      <c r="BD74" s="670"/>
      <c r="BE74" s="670"/>
      <c r="BF74" s="360"/>
    </row>
    <row r="75" spans="6:57" ht="15">
      <c r="F75" s="419">
        <f>SUM(F63:F74)</f>
        <v>707.47</v>
      </c>
      <c r="G75" s="420"/>
      <c r="H75" s="419">
        <f>SUM(H63:H74)</f>
        <v>298831.7895</v>
      </c>
      <c r="Q75" s="447"/>
      <c r="R75" s="422"/>
      <c r="S75" s="424">
        <f>SUM(S63:S74)</f>
        <v>6618.3</v>
      </c>
      <c r="T75" s="419">
        <f>SUM(T63:T74)</f>
        <v>27184.280000000006</v>
      </c>
      <c r="U75" s="419">
        <f>SUM(U63:U74)</f>
        <v>32892.978800000004</v>
      </c>
      <c r="W75" s="447"/>
      <c r="X75" s="422"/>
      <c r="Y75" s="424">
        <f>SUM(Y63:Y74)</f>
        <v>3</v>
      </c>
      <c r="Z75" s="419">
        <f>SUM(Z63:Z74)</f>
        <v>442.3799999999999</v>
      </c>
      <c r="AA75" s="419">
        <f>SUM(AA63:AA74)</f>
        <v>535.2797999999998</v>
      </c>
      <c r="AC75" s="447"/>
      <c r="AD75" s="422"/>
      <c r="AE75" s="424">
        <f>SUM(AE63:AE74)</f>
        <v>1361.1</v>
      </c>
      <c r="AF75" s="419">
        <f>SUM(AF63:AF74)</f>
        <v>6571.899999999998</v>
      </c>
      <c r="AG75" s="419">
        <f>SUM(AG63:AG74)</f>
        <v>7951.998999999997</v>
      </c>
      <c r="AI75" s="447"/>
      <c r="AJ75" s="422"/>
      <c r="AK75" s="424">
        <f>SUM(AK63:AK74)</f>
        <v>1277.2</v>
      </c>
      <c r="AL75" s="419">
        <f>SUM(AL63:AL74)</f>
        <v>5537.48</v>
      </c>
      <c r="AM75" s="419">
        <f>SUM(AM63:AM74)</f>
        <v>6700.350799999999</v>
      </c>
      <c r="AO75" s="447"/>
      <c r="AP75" s="422"/>
      <c r="AQ75" s="424">
        <f>SUM(AQ63:AQ74)</f>
        <v>138</v>
      </c>
      <c r="AR75" s="419">
        <f>SUM(AR63:AR74)</f>
        <v>1053.18</v>
      </c>
      <c r="AS75" s="419">
        <f>SUM(AS63:AS74)</f>
        <v>1274.3478</v>
      </c>
      <c r="AU75" s="447"/>
      <c r="AV75" s="422"/>
      <c r="AW75" s="424">
        <f>SUM(AW63:AW74)</f>
        <v>8819</v>
      </c>
      <c r="AX75" s="419">
        <f>SUM(AX63:AX74)</f>
        <v>40042.32</v>
      </c>
      <c r="AY75" s="419">
        <f>SUM(AY63:AY74)</f>
        <v>48451.2072</v>
      </c>
      <c r="BA75" s="447"/>
      <c r="BB75" s="422"/>
      <c r="BC75" s="424">
        <f>SUM(BC63:BC74)</f>
        <v>1692</v>
      </c>
      <c r="BD75" s="419">
        <f>SUM(BD63:BD74)</f>
        <v>7956.350000000002</v>
      </c>
      <c r="BE75" s="419">
        <f>SUM(BE63:BE74)</f>
        <v>9627.183500000003</v>
      </c>
    </row>
    <row r="77" spans="17:57" ht="24" customHeight="1">
      <c r="Q77" s="357"/>
      <c r="R77" s="357"/>
      <c r="S77" s="357"/>
      <c r="T77" s="357"/>
      <c r="U77" s="357"/>
      <c r="W77" s="448"/>
      <c r="X77" s="448"/>
      <c r="Y77" s="448"/>
      <c r="Z77" s="448"/>
      <c r="AA77" s="448"/>
      <c r="AC77" s="448"/>
      <c r="AD77" s="448"/>
      <c r="AE77" s="448"/>
      <c r="AF77" s="448"/>
      <c r="AG77" s="448"/>
      <c r="AI77" s="448"/>
      <c r="AJ77" s="448"/>
      <c r="AK77" s="448"/>
      <c r="AL77" s="448"/>
      <c r="AM77" s="448"/>
      <c r="AO77" s="448"/>
      <c r="AP77" s="448"/>
      <c r="AQ77" s="448"/>
      <c r="AR77" s="448"/>
      <c r="AS77" s="448"/>
      <c r="AU77" s="448"/>
      <c r="AV77" s="448"/>
      <c r="AW77" s="448"/>
      <c r="AX77" s="448"/>
      <c r="AY77" s="448"/>
      <c r="BA77" s="448"/>
      <c r="BB77" s="448"/>
      <c r="BC77" s="448"/>
      <c r="BD77" s="448"/>
      <c r="BE77" s="448"/>
    </row>
    <row r="78" spans="7:60" ht="15">
      <c r="G78" s="450"/>
      <c r="S78" s="418">
        <f>S61</f>
        <v>17556.3</v>
      </c>
      <c r="T78" s="361"/>
      <c r="U78" s="418">
        <f>U61</f>
        <v>88696.7268</v>
      </c>
      <c r="Y78" s="418">
        <f>Y61</f>
        <v>10</v>
      </c>
      <c r="Z78" s="361"/>
      <c r="AA78" s="418">
        <f>AA61</f>
        <v>1290.9974000000002</v>
      </c>
      <c r="AB78" s="360"/>
      <c r="AE78" s="418">
        <f>AE61</f>
        <v>3619.5</v>
      </c>
      <c r="AF78" s="361"/>
      <c r="AG78" s="418">
        <f>AG61</f>
        <v>25819.040500000003</v>
      </c>
      <c r="AH78" s="360"/>
      <c r="AK78" s="418">
        <f>AK61</f>
        <v>3768.4</v>
      </c>
      <c r="AL78" s="361"/>
      <c r="AM78" s="418">
        <f>AM61</f>
        <v>19492.4829</v>
      </c>
      <c r="AN78" s="360"/>
      <c r="AQ78" s="418">
        <f>AQ61</f>
        <v>371</v>
      </c>
      <c r="AR78" s="361"/>
      <c r="AS78" s="418">
        <f>AS61</f>
        <v>3276.2685999999994</v>
      </c>
      <c r="AT78" s="360"/>
      <c r="AW78" s="418">
        <f>AW61</f>
        <v>21960</v>
      </c>
      <c r="AX78" s="361"/>
      <c r="AY78" s="418">
        <f>AY61</f>
        <v>118260.1849</v>
      </c>
      <c r="AZ78" s="360"/>
      <c r="BC78" s="418">
        <f>BC61</f>
        <v>4353</v>
      </c>
      <c r="BD78" s="361"/>
      <c r="BE78" s="418">
        <f>BE61</f>
        <v>24292.637599999995</v>
      </c>
      <c r="BF78" s="360"/>
      <c r="BH78" s="450"/>
    </row>
    <row r="79" spans="3:62" ht="15">
      <c r="C79" s="590" t="s">
        <v>272</v>
      </c>
      <c r="D79" s="582"/>
      <c r="E79" s="583"/>
      <c r="F79" s="584">
        <f>F61</f>
        <v>1316.23</v>
      </c>
      <c r="G79" s="581"/>
      <c r="H79" s="584">
        <f>H61</f>
        <v>552154.537</v>
      </c>
      <c r="I79" s="581"/>
      <c r="J79" s="583"/>
      <c r="K79" s="581"/>
      <c r="L79" s="581"/>
      <c r="M79" s="585"/>
      <c r="N79" s="585"/>
      <c r="O79" s="585"/>
      <c r="P79" s="583"/>
      <c r="Q79" s="586"/>
      <c r="R79" s="586"/>
      <c r="S79" s="594">
        <f>S78+Y78+AE78+AK78+AQ78+AW78+BC78</f>
        <v>51638.2</v>
      </c>
      <c r="T79" s="588"/>
      <c r="U79" s="594">
        <f>U78+AA78+AG78+AM78+AS78+AY78+BE78</f>
        <v>281128.3387</v>
      </c>
      <c r="V79" s="581"/>
      <c r="W79" s="586"/>
      <c r="X79" s="586"/>
      <c r="Y79" s="586"/>
      <c r="Z79" s="585"/>
      <c r="AA79" s="585"/>
      <c r="AB79" s="581"/>
      <c r="AC79" s="586"/>
      <c r="AD79" s="586"/>
      <c r="AE79" s="586"/>
      <c r="AF79" s="585"/>
      <c r="AG79" s="585"/>
      <c r="AH79" s="581"/>
      <c r="AI79" s="586"/>
      <c r="AJ79" s="586"/>
      <c r="AK79" s="586"/>
      <c r="AL79" s="585"/>
      <c r="AM79" s="585"/>
      <c r="AN79" s="581"/>
      <c r="AO79" s="586"/>
      <c r="AP79" s="586"/>
      <c r="AQ79" s="586"/>
      <c r="AR79" s="585"/>
      <c r="AS79" s="585"/>
      <c r="AT79" s="581"/>
      <c r="AU79" s="586"/>
      <c r="AV79" s="586"/>
      <c r="AW79" s="586"/>
      <c r="AX79" s="585"/>
      <c r="AY79" s="585"/>
      <c r="AZ79" s="581"/>
      <c r="BA79" s="586"/>
      <c r="BB79" s="586"/>
      <c r="BC79" s="586"/>
      <c r="BD79" s="585"/>
      <c r="BE79" s="585"/>
      <c r="BF79" s="585"/>
      <c r="BG79" s="589">
        <f>BG47</f>
        <v>842</v>
      </c>
      <c r="BH79" s="581"/>
      <c r="BI79" s="581"/>
      <c r="BJ79" s="589">
        <f>BJ47</f>
        <v>83080.14</v>
      </c>
    </row>
    <row r="80" spans="20:58" ht="15">
      <c r="T80" s="447"/>
      <c r="U80" s="418"/>
      <c r="Z80" s="361"/>
      <c r="AA80" s="361"/>
      <c r="AB80" s="360"/>
      <c r="AF80" s="361"/>
      <c r="AG80" s="361"/>
      <c r="AH80" s="360"/>
      <c r="AL80" s="361"/>
      <c r="AM80" s="361"/>
      <c r="AN80" s="360"/>
      <c r="AR80" s="361"/>
      <c r="AS80" s="361"/>
      <c r="AT80" s="360"/>
      <c r="AX80" s="361"/>
      <c r="AY80" s="361"/>
      <c r="AZ80" s="360"/>
      <c r="BD80" s="361"/>
      <c r="BE80" s="361"/>
      <c r="BF80" s="360"/>
    </row>
  </sheetData>
  <mergeCells count="402">
    <mergeCell ref="F2:G2"/>
    <mergeCell ref="K2:M2"/>
    <mergeCell ref="Q2:T2"/>
    <mergeCell ref="W2:Z2"/>
    <mergeCell ref="AC2:AF2"/>
    <mergeCell ref="AI2:AL2"/>
    <mergeCell ref="BG3:BJ3"/>
    <mergeCell ref="BL3:BO3"/>
    <mergeCell ref="Q4:U4"/>
    <mergeCell ref="W4:AA4"/>
    <mergeCell ref="AC4:AG4"/>
    <mergeCell ref="AI4:AM4"/>
    <mergeCell ref="AO4:AS4"/>
    <mergeCell ref="AO2:AR2"/>
    <mergeCell ref="AU2:AX2"/>
    <mergeCell ref="BA2:BD2"/>
    <mergeCell ref="BG2:BJ2"/>
    <mergeCell ref="BL2:BO2"/>
    <mergeCell ref="Q3:T3"/>
    <mergeCell ref="W3:Z3"/>
    <mergeCell ref="AC3:AF3"/>
    <mergeCell ref="AI3:AL3"/>
    <mergeCell ref="AU4:AY4"/>
    <mergeCell ref="BA4:BE4"/>
    <mergeCell ref="B5:B6"/>
    <mergeCell ref="F7:F18"/>
    <mergeCell ref="G7:G18"/>
    <mergeCell ref="H7:H18"/>
    <mergeCell ref="I7:I18"/>
    <mergeCell ref="AO3:AR3"/>
    <mergeCell ref="AU3:AX3"/>
    <mergeCell ref="BA3:BD3"/>
    <mergeCell ref="K3:M3"/>
    <mergeCell ref="F21:F26"/>
    <mergeCell ref="G21:G26"/>
    <mergeCell ref="H21:H26"/>
    <mergeCell ref="I21:I26"/>
    <mergeCell ref="Q21:Q24"/>
    <mergeCell ref="R21:R24"/>
    <mergeCell ref="BN7:BN18"/>
    <mergeCell ref="BO7:BO18"/>
    <mergeCell ref="BG17:BG18"/>
    <mergeCell ref="BH17:BH18"/>
    <mergeCell ref="BI17:BI18"/>
    <mergeCell ref="BJ17:BJ18"/>
    <mergeCell ref="BG7:BG16"/>
    <mergeCell ref="BH7:BH16"/>
    <mergeCell ref="BI7:BI16"/>
    <mergeCell ref="BJ7:BJ16"/>
    <mergeCell ref="BL7:BL18"/>
    <mergeCell ref="BM7:BM18"/>
    <mergeCell ref="Z21:Z24"/>
    <mergeCell ref="AA21:AA24"/>
    <mergeCell ref="AC21:AC24"/>
    <mergeCell ref="AD21:AD24"/>
    <mergeCell ref="AE21:AE24"/>
    <mergeCell ref="AF21:AF24"/>
    <mergeCell ref="S21:S24"/>
    <mergeCell ref="T21:T24"/>
    <mergeCell ref="U21:U24"/>
    <mergeCell ref="W21:W24"/>
    <mergeCell ref="X21:X24"/>
    <mergeCell ref="Y21:Y24"/>
    <mergeCell ref="AQ21:AQ24"/>
    <mergeCell ref="AR21:AR24"/>
    <mergeCell ref="AS21:AS24"/>
    <mergeCell ref="AU21:AU24"/>
    <mergeCell ref="AG21:AG24"/>
    <mergeCell ref="AI21:AI24"/>
    <mergeCell ref="AJ21:AJ24"/>
    <mergeCell ref="AK21:AK24"/>
    <mergeCell ref="AL21:AL24"/>
    <mergeCell ref="AM21:AM24"/>
    <mergeCell ref="BJ21:BJ30"/>
    <mergeCell ref="BL21:BL32"/>
    <mergeCell ref="BM21:BM32"/>
    <mergeCell ref="BN21:BN32"/>
    <mergeCell ref="BO21:BO32"/>
    <mergeCell ref="Q25:Q32"/>
    <mergeCell ref="R25:R32"/>
    <mergeCell ref="S25:S32"/>
    <mergeCell ref="T25:T32"/>
    <mergeCell ref="U25:U32"/>
    <mergeCell ref="BC21:BC24"/>
    <mergeCell ref="BD21:BD24"/>
    <mergeCell ref="BE21:BE24"/>
    <mergeCell ref="BG21:BG30"/>
    <mergeCell ref="BH21:BH30"/>
    <mergeCell ref="BI21:BI30"/>
    <mergeCell ref="AV21:AV24"/>
    <mergeCell ref="AW21:AW24"/>
    <mergeCell ref="AX21:AX24"/>
    <mergeCell ref="AY21:AY24"/>
    <mergeCell ref="BA21:BA24"/>
    <mergeCell ref="BB21:BB24"/>
    <mergeCell ref="AO21:AO24"/>
    <mergeCell ref="AP21:AP24"/>
    <mergeCell ref="AD25:AD32"/>
    <mergeCell ref="AE25:AE32"/>
    <mergeCell ref="AF25:AF32"/>
    <mergeCell ref="AG25:AG32"/>
    <mergeCell ref="AI25:AI32"/>
    <mergeCell ref="AJ25:AJ32"/>
    <mergeCell ref="W25:W32"/>
    <mergeCell ref="X25:X32"/>
    <mergeCell ref="Y25:Y32"/>
    <mergeCell ref="Z25:Z32"/>
    <mergeCell ref="AA25:AA32"/>
    <mergeCell ref="AC25:AC32"/>
    <mergeCell ref="AU25:AU32"/>
    <mergeCell ref="AV25:AV32"/>
    <mergeCell ref="AW25:AW32"/>
    <mergeCell ref="AX25:AX32"/>
    <mergeCell ref="AK25:AK32"/>
    <mergeCell ref="AL25:AL32"/>
    <mergeCell ref="AM25:AM32"/>
    <mergeCell ref="AO25:AO32"/>
    <mergeCell ref="AP25:AP32"/>
    <mergeCell ref="AQ25:AQ32"/>
    <mergeCell ref="BI31:BI32"/>
    <mergeCell ref="BJ31:BJ32"/>
    <mergeCell ref="F35:F40"/>
    <mergeCell ref="G35:G40"/>
    <mergeCell ref="H35:H40"/>
    <mergeCell ref="I35:I40"/>
    <mergeCell ref="Q35:Q38"/>
    <mergeCell ref="R35:R38"/>
    <mergeCell ref="S35:S38"/>
    <mergeCell ref="T35:T38"/>
    <mergeCell ref="F27:F32"/>
    <mergeCell ref="G27:G32"/>
    <mergeCell ref="H27:H32"/>
    <mergeCell ref="I27:I32"/>
    <mergeCell ref="BG31:BG32"/>
    <mergeCell ref="BH31:BH32"/>
    <mergeCell ref="AY25:AY32"/>
    <mergeCell ref="BA25:BA32"/>
    <mergeCell ref="BB25:BB32"/>
    <mergeCell ref="BC25:BC32"/>
    <mergeCell ref="BD25:BD32"/>
    <mergeCell ref="BE25:BE32"/>
    <mergeCell ref="AR25:AR32"/>
    <mergeCell ref="AS25:AS32"/>
    <mergeCell ref="AC35:AC38"/>
    <mergeCell ref="AD35:AD38"/>
    <mergeCell ref="AE35:AE38"/>
    <mergeCell ref="AF35:AF38"/>
    <mergeCell ref="AG35:AG38"/>
    <mergeCell ref="AI35:AI38"/>
    <mergeCell ref="U35:U38"/>
    <mergeCell ref="W35:W38"/>
    <mergeCell ref="X35:X38"/>
    <mergeCell ref="Y35:Y38"/>
    <mergeCell ref="Z35:Z38"/>
    <mergeCell ref="AA35:AA38"/>
    <mergeCell ref="AR35:AR38"/>
    <mergeCell ref="AS35:AS38"/>
    <mergeCell ref="AU35:AU38"/>
    <mergeCell ref="AV35:AV38"/>
    <mergeCell ref="AW35:AW38"/>
    <mergeCell ref="AJ35:AJ38"/>
    <mergeCell ref="AK35:AK38"/>
    <mergeCell ref="AL35:AL38"/>
    <mergeCell ref="AM35:AM38"/>
    <mergeCell ref="AO35:AO38"/>
    <mergeCell ref="AP35:AP38"/>
    <mergeCell ref="BM35:BM46"/>
    <mergeCell ref="BN35:BN46"/>
    <mergeCell ref="BO35:BO46"/>
    <mergeCell ref="Q39:Q41"/>
    <mergeCell ref="R39:R41"/>
    <mergeCell ref="S39:S41"/>
    <mergeCell ref="T39:T41"/>
    <mergeCell ref="U39:U41"/>
    <mergeCell ref="W39:W46"/>
    <mergeCell ref="X39:X46"/>
    <mergeCell ref="BE35:BE38"/>
    <mergeCell ref="BG35:BG44"/>
    <mergeCell ref="BH35:BH44"/>
    <mergeCell ref="BI35:BI44"/>
    <mergeCell ref="BJ35:BJ44"/>
    <mergeCell ref="BL35:BL46"/>
    <mergeCell ref="BJ45:BJ46"/>
    <mergeCell ref="AX35:AX38"/>
    <mergeCell ref="AY35:AY38"/>
    <mergeCell ref="BA35:BA38"/>
    <mergeCell ref="BB35:BB38"/>
    <mergeCell ref="BC35:BC38"/>
    <mergeCell ref="BD35:BD38"/>
    <mergeCell ref="AQ35:AQ38"/>
    <mergeCell ref="F41:F46"/>
    <mergeCell ref="G41:G46"/>
    <mergeCell ref="H41:H46"/>
    <mergeCell ref="I41:I46"/>
    <mergeCell ref="Q42:Q46"/>
    <mergeCell ref="R42:R46"/>
    <mergeCell ref="AU39:AU46"/>
    <mergeCell ref="AV39:AV46"/>
    <mergeCell ref="AW39:AW46"/>
    <mergeCell ref="AM39:AM46"/>
    <mergeCell ref="AO39:AO46"/>
    <mergeCell ref="AP39:AP46"/>
    <mergeCell ref="AQ39:AQ46"/>
    <mergeCell ref="AR39:AR46"/>
    <mergeCell ref="AS39:AS46"/>
    <mergeCell ref="AF39:AF46"/>
    <mergeCell ref="AG39:AG46"/>
    <mergeCell ref="AI39:AI46"/>
    <mergeCell ref="AJ39:AJ46"/>
    <mergeCell ref="AK39:AK46"/>
    <mergeCell ref="AL39:AL46"/>
    <mergeCell ref="Y39:Y46"/>
    <mergeCell ref="Z39:Z46"/>
    <mergeCell ref="AA39:AA46"/>
    <mergeCell ref="S42:S46"/>
    <mergeCell ref="T42:T46"/>
    <mergeCell ref="U42:U46"/>
    <mergeCell ref="BG45:BG46"/>
    <mergeCell ref="BH45:BH46"/>
    <mergeCell ref="BI45:BI46"/>
    <mergeCell ref="BB39:BB46"/>
    <mergeCell ref="BC39:BC46"/>
    <mergeCell ref="BD39:BD46"/>
    <mergeCell ref="BE39:BE46"/>
    <mergeCell ref="AX39:AX46"/>
    <mergeCell ref="AY39:AY46"/>
    <mergeCell ref="BA39:BA46"/>
    <mergeCell ref="AC39:AC46"/>
    <mergeCell ref="AD39:AD46"/>
    <mergeCell ref="AE39:AE46"/>
    <mergeCell ref="S49:S52"/>
    <mergeCell ref="T49:T52"/>
    <mergeCell ref="U49:U52"/>
    <mergeCell ref="W49:W52"/>
    <mergeCell ref="X49:X52"/>
    <mergeCell ref="Y49:Y52"/>
    <mergeCell ref="F49:F54"/>
    <mergeCell ref="G49:G54"/>
    <mergeCell ref="H49:H54"/>
    <mergeCell ref="I49:I54"/>
    <mergeCell ref="Q49:Q52"/>
    <mergeCell ref="R49:R52"/>
    <mergeCell ref="BN49:BN53"/>
    <mergeCell ref="BO49:BO53"/>
    <mergeCell ref="Q53:Q60"/>
    <mergeCell ref="R53:R60"/>
    <mergeCell ref="S53:S60"/>
    <mergeCell ref="T53:T60"/>
    <mergeCell ref="U53:U60"/>
    <mergeCell ref="BC49:BC52"/>
    <mergeCell ref="BD49:BD52"/>
    <mergeCell ref="BE49:BE52"/>
    <mergeCell ref="BG49:BG53"/>
    <mergeCell ref="BH49:BH53"/>
    <mergeCell ref="BI49:BI53"/>
    <mergeCell ref="AV49:AV52"/>
    <mergeCell ref="AW49:AW52"/>
    <mergeCell ref="AX49:AX52"/>
    <mergeCell ref="AY49:AY52"/>
    <mergeCell ref="BA49:BA52"/>
    <mergeCell ref="BB49:BB52"/>
    <mergeCell ref="AO49:AO52"/>
    <mergeCell ref="AP49:AP52"/>
    <mergeCell ref="AQ49:AQ52"/>
    <mergeCell ref="AR49:AR52"/>
    <mergeCell ref="AS49:AS52"/>
    <mergeCell ref="W53:W60"/>
    <mergeCell ref="X53:X60"/>
    <mergeCell ref="Y53:Y60"/>
    <mergeCell ref="Z53:Z60"/>
    <mergeCell ref="AA53:AA60"/>
    <mergeCell ref="AC53:AC60"/>
    <mergeCell ref="BJ49:BJ53"/>
    <mergeCell ref="BL49:BL53"/>
    <mergeCell ref="BM49:BM53"/>
    <mergeCell ref="AU49:AU52"/>
    <mergeCell ref="AG49:AG52"/>
    <mergeCell ref="AI49:AI52"/>
    <mergeCell ref="AJ49:AJ52"/>
    <mergeCell ref="AK49:AK52"/>
    <mergeCell ref="AL49:AL52"/>
    <mergeCell ref="AM49:AM52"/>
    <mergeCell ref="Z49:Z52"/>
    <mergeCell ref="AA49:AA52"/>
    <mergeCell ref="AC49:AC52"/>
    <mergeCell ref="AD49:AD52"/>
    <mergeCell ref="AE49:AE52"/>
    <mergeCell ref="AF49:AF52"/>
    <mergeCell ref="AK53:AK60"/>
    <mergeCell ref="AL53:AL60"/>
    <mergeCell ref="AM53:AM60"/>
    <mergeCell ref="AO53:AO60"/>
    <mergeCell ref="AP53:AP60"/>
    <mergeCell ref="AQ53:AQ60"/>
    <mergeCell ref="AD53:AD60"/>
    <mergeCell ref="AE53:AE60"/>
    <mergeCell ref="AF53:AF60"/>
    <mergeCell ref="AG53:AG60"/>
    <mergeCell ref="AI53:AI60"/>
    <mergeCell ref="AJ53:AJ60"/>
    <mergeCell ref="BN54:BN58"/>
    <mergeCell ref="BO54:BO58"/>
    <mergeCell ref="F55:F60"/>
    <mergeCell ref="G55:G60"/>
    <mergeCell ref="H55:H60"/>
    <mergeCell ref="I55:I60"/>
    <mergeCell ref="BG54:BG58"/>
    <mergeCell ref="BH54:BH58"/>
    <mergeCell ref="BI54:BI58"/>
    <mergeCell ref="BJ54:BJ58"/>
    <mergeCell ref="BL54:BL58"/>
    <mergeCell ref="BM54:BM58"/>
    <mergeCell ref="AY53:AY60"/>
    <mergeCell ref="BA53:BA60"/>
    <mergeCell ref="BB53:BB60"/>
    <mergeCell ref="BC53:BC60"/>
    <mergeCell ref="BD53:BD60"/>
    <mergeCell ref="BE53:BE60"/>
    <mergeCell ref="AR53:AR60"/>
    <mergeCell ref="AS53:AS60"/>
    <mergeCell ref="AU53:AU60"/>
    <mergeCell ref="AV53:AV60"/>
    <mergeCell ref="AW53:AW60"/>
    <mergeCell ref="AX53:AX60"/>
    <mergeCell ref="S63:S66"/>
    <mergeCell ref="T63:T66"/>
    <mergeCell ref="U63:U66"/>
    <mergeCell ref="W63:W66"/>
    <mergeCell ref="X63:X66"/>
    <mergeCell ref="Y63:Y66"/>
    <mergeCell ref="F63:F68"/>
    <mergeCell ref="G63:G68"/>
    <mergeCell ref="H63:H68"/>
    <mergeCell ref="I63:I68"/>
    <mergeCell ref="Q63:Q66"/>
    <mergeCell ref="R63:R66"/>
    <mergeCell ref="BD63:BD66"/>
    <mergeCell ref="BE63:BE66"/>
    <mergeCell ref="Q67:Q74"/>
    <mergeCell ref="R67:R74"/>
    <mergeCell ref="S67:S74"/>
    <mergeCell ref="T67:T74"/>
    <mergeCell ref="U67:U74"/>
    <mergeCell ref="W67:W74"/>
    <mergeCell ref="X67:X74"/>
    <mergeCell ref="AV63:AV66"/>
    <mergeCell ref="AW63:AW66"/>
    <mergeCell ref="AX63:AX66"/>
    <mergeCell ref="AY63:AY66"/>
    <mergeCell ref="BA63:BA66"/>
    <mergeCell ref="BB63:BB66"/>
    <mergeCell ref="AO63:AO66"/>
    <mergeCell ref="AP63:AP66"/>
    <mergeCell ref="AQ63:AQ66"/>
    <mergeCell ref="AR63:AR66"/>
    <mergeCell ref="AS63:AS66"/>
    <mergeCell ref="AU63:AU66"/>
    <mergeCell ref="AG63:AG66"/>
    <mergeCell ref="AI63:AI66"/>
    <mergeCell ref="AJ63:AJ66"/>
    <mergeCell ref="AK67:AK74"/>
    <mergeCell ref="AL67:AL74"/>
    <mergeCell ref="Y67:Y74"/>
    <mergeCell ref="Z67:Z74"/>
    <mergeCell ref="AA67:AA74"/>
    <mergeCell ref="AC67:AC74"/>
    <mergeCell ref="AD67:AD74"/>
    <mergeCell ref="AE67:AE74"/>
    <mergeCell ref="BC63:BC66"/>
    <mergeCell ref="AK63:AK66"/>
    <mergeCell ref="AL63:AL66"/>
    <mergeCell ref="AM63:AM66"/>
    <mergeCell ref="Z63:Z66"/>
    <mergeCell ref="AA63:AA66"/>
    <mergeCell ref="AC63:AC66"/>
    <mergeCell ref="AD63:AD66"/>
    <mergeCell ref="AE63:AE66"/>
    <mergeCell ref="AF63:AF66"/>
    <mergeCell ref="BB67:BB74"/>
    <mergeCell ref="BC67:BC74"/>
    <mergeCell ref="BD67:BD74"/>
    <mergeCell ref="BE67:BE74"/>
    <mergeCell ref="F69:F74"/>
    <mergeCell ref="G69:G74"/>
    <mergeCell ref="H69:H74"/>
    <mergeCell ref="I69:I74"/>
    <mergeCell ref="AU67:AU74"/>
    <mergeCell ref="AV67:AV74"/>
    <mergeCell ref="AW67:AW74"/>
    <mergeCell ref="AX67:AX74"/>
    <mergeCell ref="AY67:AY74"/>
    <mergeCell ref="BA67:BA74"/>
    <mergeCell ref="AM67:AM74"/>
    <mergeCell ref="AO67:AO74"/>
    <mergeCell ref="AP67:AP74"/>
    <mergeCell ref="AQ67:AQ74"/>
    <mergeCell ref="AR67:AR74"/>
    <mergeCell ref="AS67:AS74"/>
    <mergeCell ref="AF67:AF74"/>
    <mergeCell ref="AG67:AG74"/>
    <mergeCell ref="AI67:AI74"/>
    <mergeCell ref="AJ67:AJ74"/>
  </mergeCells>
  <conditionalFormatting sqref="Q39">
    <cfRule type="cellIs" priority="143" dxfId="0" operator="greaterThan">
      <formula>0</formula>
    </cfRule>
  </conditionalFormatting>
  <conditionalFormatting sqref="Q7:S7 Q8:R18 S8:S19">
    <cfRule type="cellIs" priority="144" dxfId="0" operator="greaterThan">
      <formula>0</formula>
    </cfRule>
  </conditionalFormatting>
  <conditionalFormatting sqref="F7">
    <cfRule type="cellIs" priority="142" dxfId="67" operator="greaterThan">
      <formula>0</formula>
    </cfRule>
  </conditionalFormatting>
  <conditionalFormatting sqref="F21">
    <cfRule type="cellIs" priority="141" dxfId="67" operator="greaterThan">
      <formula>0</formula>
    </cfRule>
  </conditionalFormatting>
  <conditionalFormatting sqref="F27">
    <cfRule type="cellIs" priority="140" dxfId="67" operator="greaterThan">
      <formula>0</formula>
    </cfRule>
  </conditionalFormatting>
  <conditionalFormatting sqref="F35">
    <cfRule type="cellIs" priority="139" dxfId="67" operator="greaterThan">
      <formula>0</formula>
    </cfRule>
  </conditionalFormatting>
  <conditionalFormatting sqref="F41">
    <cfRule type="cellIs" priority="138" dxfId="67" operator="greaterThan">
      <formula>0</formula>
    </cfRule>
  </conditionalFormatting>
  <conditionalFormatting sqref="F49">
    <cfRule type="cellIs" priority="137" dxfId="67" operator="greaterThan">
      <formula>0</formula>
    </cfRule>
  </conditionalFormatting>
  <conditionalFormatting sqref="F55">
    <cfRule type="cellIs" priority="136" dxfId="67" operator="greaterThan">
      <formula>0</formula>
    </cfRule>
  </conditionalFormatting>
  <conditionalFormatting sqref="BG17">
    <cfRule type="cellIs" priority="133" dxfId="51" operator="greaterThan">
      <formula>0</formula>
    </cfRule>
  </conditionalFormatting>
  <conditionalFormatting sqref="BG45">
    <cfRule type="cellIs" priority="130" dxfId="51" operator="greaterThan">
      <formula>0</formula>
    </cfRule>
  </conditionalFormatting>
  <conditionalFormatting sqref="BG21">
    <cfRule type="cellIs" priority="135" dxfId="51" operator="greaterThan">
      <formula>0</formula>
    </cfRule>
  </conditionalFormatting>
  <conditionalFormatting sqref="BG7">
    <cfRule type="cellIs" priority="134" dxfId="51" operator="greaterThan">
      <formula>0</formula>
    </cfRule>
  </conditionalFormatting>
  <conditionalFormatting sqref="BG35">
    <cfRule type="cellIs" priority="132" dxfId="51" operator="greaterThan">
      <formula>0</formula>
    </cfRule>
  </conditionalFormatting>
  <conditionalFormatting sqref="BG31">
    <cfRule type="cellIs" priority="131" dxfId="51" operator="greaterThan">
      <formula>0</formula>
    </cfRule>
  </conditionalFormatting>
  <conditionalFormatting sqref="BL21">
    <cfRule type="cellIs" priority="128" dxfId="51" operator="greaterThan">
      <formula>0</formula>
    </cfRule>
  </conditionalFormatting>
  <conditionalFormatting sqref="BL7">
    <cfRule type="cellIs" priority="129" dxfId="51" operator="greaterThan">
      <formula>0</formula>
    </cfRule>
  </conditionalFormatting>
  <conditionalFormatting sqref="BL35">
    <cfRule type="cellIs" priority="127" dxfId="51" operator="greaterThan">
      <formula>0</formula>
    </cfRule>
  </conditionalFormatting>
  <conditionalFormatting sqref="BL49">
    <cfRule type="cellIs" priority="126" dxfId="51" operator="greaterThan">
      <formula>0</formula>
    </cfRule>
  </conditionalFormatting>
  <conditionalFormatting sqref="BM49 BM54">
    <cfRule type="cellIs" priority="125" dxfId="51" operator="greaterThan">
      <formula>0</formula>
    </cfRule>
  </conditionalFormatting>
  <conditionalFormatting sqref="BG49">
    <cfRule type="cellIs" priority="124" dxfId="51" operator="greaterThan">
      <formula>0</formula>
    </cfRule>
  </conditionalFormatting>
  <conditionalFormatting sqref="BG54">
    <cfRule type="cellIs" priority="123" dxfId="51" operator="greaterThan">
      <formula>0</formula>
    </cfRule>
  </conditionalFormatting>
  <conditionalFormatting sqref="R42">
    <cfRule type="cellIs" priority="122" dxfId="0" operator="greaterThan">
      <formula>0</formula>
    </cfRule>
  </conditionalFormatting>
  <conditionalFormatting sqref="S42">
    <cfRule type="cellIs" priority="121" dxfId="0" operator="greaterThan">
      <formula>0</formula>
    </cfRule>
  </conditionalFormatting>
  <conditionalFormatting sqref="AC7:AE7 AC8:AD18 AE8:AE19">
    <cfRule type="cellIs" priority="114" dxfId="0" operator="greaterThan">
      <formula>0</formula>
    </cfRule>
  </conditionalFormatting>
  <conditionalFormatting sqref="W7:Y7 W8:X18 Y8:Y19">
    <cfRule type="cellIs" priority="120" dxfId="0" operator="greaterThan">
      <formula>0</formula>
    </cfRule>
  </conditionalFormatting>
  <conditionalFormatting sqref="W39:X39">
    <cfRule type="cellIs" priority="119" dxfId="0" operator="greaterThan">
      <formula>0</formula>
    </cfRule>
  </conditionalFormatting>
  <conditionalFormatting sqref="Y39">
    <cfRule type="cellIs" priority="118" dxfId="0" operator="greaterThan">
      <formula>0</formula>
    </cfRule>
  </conditionalFormatting>
  <conditionalFormatting sqref="W49:X49">
    <cfRule type="cellIs" priority="117" dxfId="0" operator="greaterThan">
      <formula>0</formula>
    </cfRule>
  </conditionalFormatting>
  <conditionalFormatting sqref="Y49">
    <cfRule type="cellIs" priority="116" dxfId="0" operator="greaterThan">
      <formula>0</formula>
    </cfRule>
  </conditionalFormatting>
  <conditionalFormatting sqref="Q42">
    <cfRule type="cellIs" priority="115" dxfId="0" operator="greaterThan">
      <formula>0</formula>
    </cfRule>
  </conditionalFormatting>
  <conditionalFormatting sqref="AI7:AK7 AI8:AJ18 AK8:AK19">
    <cfRule type="cellIs" priority="113" dxfId="0" operator="greaterThan">
      <formula>0</formula>
    </cfRule>
  </conditionalFormatting>
  <conditionalFormatting sqref="BA7:BC7 BA8:BB18 BC8:BC19">
    <cfRule type="cellIs" priority="110" dxfId="0" operator="greaterThan">
      <formula>0</formula>
    </cfRule>
  </conditionalFormatting>
  <conditionalFormatting sqref="AU7:AW7 AU8:AV18 AW8:AW19">
    <cfRule type="cellIs" priority="111" dxfId="0" operator="greaterThan">
      <formula>0</formula>
    </cfRule>
  </conditionalFormatting>
  <conditionalFormatting sqref="AO7:AQ7 AO8:AP18 AQ8:AQ19">
    <cfRule type="cellIs" priority="112" dxfId="0" operator="greaterThan">
      <formula>0</formula>
    </cfRule>
  </conditionalFormatting>
  <conditionalFormatting sqref="W53:X53">
    <cfRule type="cellIs" priority="109" dxfId="0" operator="greaterThan">
      <formula>0</formula>
    </cfRule>
  </conditionalFormatting>
  <conditionalFormatting sqref="Y53">
    <cfRule type="cellIs" priority="108" dxfId="0" operator="greaterThan">
      <formula>0</formula>
    </cfRule>
  </conditionalFormatting>
  <conditionalFormatting sqref="W63:X63">
    <cfRule type="cellIs" priority="107" dxfId="0" operator="greaterThan">
      <formula>0</formula>
    </cfRule>
  </conditionalFormatting>
  <conditionalFormatting sqref="AC63:AD63">
    <cfRule type="cellIs" priority="103" dxfId="0" operator="greaterThan">
      <formula>0</formula>
    </cfRule>
  </conditionalFormatting>
  <conditionalFormatting sqref="AE63">
    <cfRule type="cellIs" priority="102" dxfId="0" operator="greaterThan">
      <formula>0</formula>
    </cfRule>
  </conditionalFormatting>
  <conditionalFormatting sqref="W67:X67">
    <cfRule type="cellIs" priority="105" dxfId="0" operator="greaterThan">
      <formula>0</formula>
    </cfRule>
  </conditionalFormatting>
  <conditionalFormatting sqref="Y67">
    <cfRule type="cellIs" priority="104" dxfId="0" operator="greaterThan">
      <formula>0</formula>
    </cfRule>
  </conditionalFormatting>
  <conditionalFormatting sqref="AC49:AD49">
    <cfRule type="cellIs" priority="99" dxfId="0" operator="greaterThan">
      <formula>0</formula>
    </cfRule>
  </conditionalFormatting>
  <conditionalFormatting sqref="AE49">
    <cfRule type="cellIs" priority="98" dxfId="0" operator="greaterThan">
      <formula>0</formula>
    </cfRule>
  </conditionalFormatting>
  <conditionalFormatting sqref="AC67:AD67">
    <cfRule type="cellIs" priority="101" dxfId="0" operator="greaterThan">
      <formula>0</formula>
    </cfRule>
  </conditionalFormatting>
  <conditionalFormatting sqref="AE67">
    <cfRule type="cellIs" priority="100" dxfId="0" operator="greaterThan">
      <formula>0</formula>
    </cfRule>
  </conditionalFormatting>
  <conditionalFormatting sqref="AC39:AD39">
    <cfRule type="cellIs" priority="97" dxfId="0" operator="greaterThan">
      <formula>0</formula>
    </cfRule>
  </conditionalFormatting>
  <conditionalFormatting sqref="AE39">
    <cfRule type="cellIs" priority="96" dxfId="0" operator="greaterThan">
      <formula>0</formula>
    </cfRule>
  </conditionalFormatting>
  <conditionalFormatting sqref="Y63">
    <cfRule type="cellIs" priority="106" dxfId="0" operator="greaterThan">
      <formula>0</formula>
    </cfRule>
  </conditionalFormatting>
  <conditionalFormatting sqref="AC53:AD53">
    <cfRule type="cellIs" priority="95" dxfId="0" operator="greaterThan">
      <formula>0</formula>
    </cfRule>
  </conditionalFormatting>
  <conditionalFormatting sqref="AE53">
    <cfRule type="cellIs" priority="94" dxfId="0" operator="greaterThan">
      <formula>0</formula>
    </cfRule>
  </conditionalFormatting>
  <conditionalFormatting sqref="AI39:AJ39">
    <cfRule type="cellIs" priority="93" dxfId="0" operator="greaterThan">
      <formula>0</formula>
    </cfRule>
  </conditionalFormatting>
  <conditionalFormatting sqref="AI49:AJ49">
    <cfRule type="cellIs" priority="91" dxfId="0" operator="greaterThan">
      <formula>0</formula>
    </cfRule>
  </conditionalFormatting>
  <conditionalFormatting sqref="AK49">
    <cfRule type="cellIs" priority="90" dxfId="0" operator="greaterThan">
      <formula>0</formula>
    </cfRule>
  </conditionalFormatting>
  <conditionalFormatting sqref="AI53:AJ53">
    <cfRule type="cellIs" priority="89" dxfId="0" operator="greaterThan">
      <formula>0</formula>
    </cfRule>
  </conditionalFormatting>
  <conditionalFormatting sqref="AK53">
    <cfRule type="cellIs" priority="88" dxfId="0" operator="greaterThan">
      <formula>0</formula>
    </cfRule>
  </conditionalFormatting>
  <conditionalFormatting sqref="AI63:AJ63">
    <cfRule type="cellIs" priority="87" dxfId="0" operator="greaterThan">
      <formula>0</formula>
    </cfRule>
  </conditionalFormatting>
  <conditionalFormatting sqref="AK63">
    <cfRule type="cellIs" priority="86" dxfId="0" operator="greaterThan">
      <formula>0</formula>
    </cfRule>
  </conditionalFormatting>
  <conditionalFormatting sqref="AI67:AJ67">
    <cfRule type="cellIs" priority="85" dxfId="0" operator="greaterThan">
      <formula>0</formula>
    </cfRule>
  </conditionalFormatting>
  <conditionalFormatting sqref="AK67">
    <cfRule type="cellIs" priority="84" dxfId="0" operator="greaterThan">
      <formula>0</formula>
    </cfRule>
  </conditionalFormatting>
  <conditionalFormatting sqref="AK39">
    <cfRule type="cellIs" priority="92" dxfId="0" operator="greaterThan">
      <formula>0</formula>
    </cfRule>
  </conditionalFormatting>
  <conditionalFormatting sqref="AO49:AP49">
    <cfRule type="cellIs" priority="81" dxfId="0" operator="greaterThan">
      <formula>0</formula>
    </cfRule>
  </conditionalFormatting>
  <conditionalFormatting sqref="AQ49">
    <cfRule type="cellIs" priority="80" dxfId="0" operator="greaterThan">
      <formula>0</formula>
    </cfRule>
  </conditionalFormatting>
  <conditionalFormatting sqref="AO53:AP53">
    <cfRule type="cellIs" priority="79" dxfId="0" operator="greaterThan">
      <formula>0</formula>
    </cfRule>
  </conditionalFormatting>
  <conditionalFormatting sqref="AQ53">
    <cfRule type="cellIs" priority="78" dxfId="0" operator="greaterThan">
      <formula>0</formula>
    </cfRule>
  </conditionalFormatting>
  <conditionalFormatting sqref="AO67:AP67">
    <cfRule type="cellIs" priority="75" dxfId="0" operator="greaterThan">
      <formula>0</formula>
    </cfRule>
  </conditionalFormatting>
  <conditionalFormatting sqref="AQ67">
    <cfRule type="cellIs" priority="74" dxfId="0" operator="greaterThan">
      <formula>0</formula>
    </cfRule>
  </conditionalFormatting>
  <conditionalFormatting sqref="AO39:AP39">
    <cfRule type="cellIs" priority="83" dxfId="0" operator="greaterThan">
      <formula>0</formula>
    </cfRule>
  </conditionalFormatting>
  <conditionalFormatting sqref="AQ39">
    <cfRule type="cellIs" priority="82" dxfId="0" operator="greaterThan">
      <formula>0</formula>
    </cfRule>
  </conditionalFormatting>
  <conditionalFormatting sqref="AU53:AV53">
    <cfRule type="cellIs" priority="69" dxfId="0" operator="greaterThan">
      <formula>0</formula>
    </cfRule>
  </conditionalFormatting>
  <conditionalFormatting sqref="AW53">
    <cfRule type="cellIs" priority="68" dxfId="0" operator="greaterThan">
      <formula>0</formula>
    </cfRule>
  </conditionalFormatting>
  <conditionalFormatting sqref="AU67:AV67">
    <cfRule type="cellIs" priority="65" dxfId="0" operator="greaterThan">
      <formula>0</formula>
    </cfRule>
  </conditionalFormatting>
  <conditionalFormatting sqref="AW67">
    <cfRule type="cellIs" priority="64" dxfId="0" operator="greaterThan">
      <formula>0</formula>
    </cfRule>
  </conditionalFormatting>
  <conditionalFormatting sqref="AO63:AP63">
    <cfRule type="cellIs" priority="77" dxfId="0" operator="greaterThan">
      <formula>0</formula>
    </cfRule>
  </conditionalFormatting>
  <conditionalFormatting sqref="AQ63">
    <cfRule type="cellIs" priority="76" dxfId="0" operator="greaterThan">
      <formula>0</formula>
    </cfRule>
  </conditionalFormatting>
  <conditionalFormatting sqref="AU39:AV39">
    <cfRule type="cellIs" priority="73" dxfId="0" operator="greaterThan">
      <formula>0</formula>
    </cfRule>
  </conditionalFormatting>
  <conditionalFormatting sqref="AW39">
    <cfRule type="cellIs" priority="72" dxfId="0" operator="greaterThan">
      <formula>0</formula>
    </cfRule>
  </conditionalFormatting>
  <conditionalFormatting sqref="AU49:AV49">
    <cfRule type="cellIs" priority="71" dxfId="0" operator="greaterThan">
      <formula>0</formula>
    </cfRule>
  </conditionalFormatting>
  <conditionalFormatting sqref="AW49">
    <cfRule type="cellIs" priority="70" dxfId="0" operator="greaterThan">
      <formula>0</formula>
    </cfRule>
  </conditionalFormatting>
  <conditionalFormatting sqref="BA67:BB67">
    <cfRule type="cellIs" priority="55" dxfId="0" operator="greaterThan">
      <formula>0</formula>
    </cfRule>
  </conditionalFormatting>
  <conditionalFormatting sqref="BC67">
    <cfRule type="cellIs" priority="54" dxfId="0" operator="greaterThan">
      <formula>0</formula>
    </cfRule>
  </conditionalFormatting>
  <conditionalFormatting sqref="AU63:AV63">
    <cfRule type="cellIs" priority="67" dxfId="0" operator="greaterThan">
      <formula>0</formula>
    </cfRule>
  </conditionalFormatting>
  <conditionalFormatting sqref="AW63">
    <cfRule type="cellIs" priority="66" dxfId="0" operator="greaterThan">
      <formula>0</formula>
    </cfRule>
  </conditionalFormatting>
  <conditionalFormatting sqref="BA39:BB39">
    <cfRule type="cellIs" priority="63" dxfId="0" operator="greaterThan">
      <formula>0</formula>
    </cfRule>
  </conditionalFormatting>
  <conditionalFormatting sqref="BC39">
    <cfRule type="cellIs" priority="62" dxfId="0" operator="greaterThan">
      <formula>0</formula>
    </cfRule>
  </conditionalFormatting>
  <conditionalFormatting sqref="BA49:BB49">
    <cfRule type="cellIs" priority="61" dxfId="0" operator="greaterThan">
      <formula>0</formula>
    </cfRule>
  </conditionalFormatting>
  <conditionalFormatting sqref="BC49">
    <cfRule type="cellIs" priority="60" dxfId="0" operator="greaterThan">
      <formula>0</formula>
    </cfRule>
  </conditionalFormatting>
  <conditionalFormatting sqref="BA53:BB53">
    <cfRule type="cellIs" priority="59" dxfId="0" operator="greaterThan">
      <formula>0</formula>
    </cfRule>
  </conditionalFormatting>
  <conditionalFormatting sqref="BC53">
    <cfRule type="cellIs" priority="58" dxfId="0" operator="greaterThan">
      <formula>0</formula>
    </cfRule>
  </conditionalFormatting>
  <conditionalFormatting sqref="BA63:BB63">
    <cfRule type="cellIs" priority="57" dxfId="0" operator="greaterThan">
      <formula>0</formula>
    </cfRule>
  </conditionalFormatting>
  <conditionalFormatting sqref="BC63">
    <cfRule type="cellIs" priority="56" dxfId="0" operator="greaterThan">
      <formula>0</formula>
    </cfRule>
  </conditionalFormatting>
  <conditionalFormatting sqref="R39:S39">
    <cfRule type="cellIs" priority="53" dxfId="0" operator="greaterThan">
      <formula>0</formula>
    </cfRule>
  </conditionalFormatting>
  <conditionalFormatting sqref="AI35:AJ35">
    <cfRule type="cellIs" priority="52" dxfId="0" operator="greaterThan">
      <formula>0</formula>
    </cfRule>
  </conditionalFormatting>
  <conditionalFormatting sqref="AK35">
    <cfRule type="cellIs" priority="51" dxfId="0" operator="greaterThan">
      <formula>0</formula>
    </cfRule>
  </conditionalFormatting>
  <conditionalFormatting sqref="AI25:AJ25">
    <cfRule type="cellIs" priority="50" dxfId="0" operator="greaterThan">
      <formula>0</formula>
    </cfRule>
  </conditionalFormatting>
  <conditionalFormatting sqref="AK25">
    <cfRule type="cellIs" priority="49" dxfId="0" operator="greaterThan">
      <formula>0</formula>
    </cfRule>
  </conditionalFormatting>
  <conditionalFormatting sqref="AU35:AV35">
    <cfRule type="cellIs" priority="48" dxfId="0" operator="greaterThan">
      <formula>0</formula>
    </cfRule>
  </conditionalFormatting>
  <conditionalFormatting sqref="AW35">
    <cfRule type="cellIs" priority="47" dxfId="0" operator="greaterThan">
      <formula>0</formula>
    </cfRule>
  </conditionalFormatting>
  <conditionalFormatting sqref="AU25:AV25">
    <cfRule type="cellIs" priority="46" dxfId="0" operator="greaterThan">
      <formula>0</formula>
    </cfRule>
  </conditionalFormatting>
  <conditionalFormatting sqref="AW25">
    <cfRule type="cellIs" priority="45" dxfId="0" operator="greaterThan">
      <formula>0</formula>
    </cfRule>
  </conditionalFormatting>
  <conditionalFormatting sqref="W35:X35">
    <cfRule type="cellIs" priority="44" dxfId="0" operator="greaterThan">
      <formula>0</formula>
    </cfRule>
  </conditionalFormatting>
  <conditionalFormatting sqref="Y35">
    <cfRule type="cellIs" priority="43" dxfId="0" operator="greaterThan">
      <formula>0</formula>
    </cfRule>
  </conditionalFormatting>
  <conditionalFormatting sqref="W25:X25">
    <cfRule type="cellIs" priority="42" dxfId="0" operator="greaterThan">
      <formula>0</formula>
    </cfRule>
  </conditionalFormatting>
  <conditionalFormatting sqref="Y25">
    <cfRule type="cellIs" priority="41" dxfId="0" operator="greaterThan">
      <formula>0</formula>
    </cfRule>
  </conditionalFormatting>
  <conditionalFormatting sqref="AC35:AD35">
    <cfRule type="cellIs" priority="40" dxfId="0" operator="greaterThan">
      <formula>0</formula>
    </cfRule>
  </conditionalFormatting>
  <conditionalFormatting sqref="AE35">
    <cfRule type="cellIs" priority="39" dxfId="0" operator="greaterThan">
      <formula>0</formula>
    </cfRule>
  </conditionalFormatting>
  <conditionalFormatting sqref="AC25:AD25">
    <cfRule type="cellIs" priority="38" dxfId="0" operator="greaterThan">
      <formula>0</formula>
    </cfRule>
  </conditionalFormatting>
  <conditionalFormatting sqref="AE25">
    <cfRule type="cellIs" priority="37" dxfId="0" operator="greaterThan">
      <formula>0</formula>
    </cfRule>
  </conditionalFormatting>
  <conditionalFormatting sqref="AO35:AP35">
    <cfRule type="cellIs" priority="36" dxfId="0" operator="greaterThan">
      <formula>0</formula>
    </cfRule>
  </conditionalFormatting>
  <conditionalFormatting sqref="AQ35">
    <cfRule type="cellIs" priority="35" dxfId="0" operator="greaterThan">
      <formula>0</formula>
    </cfRule>
  </conditionalFormatting>
  <conditionalFormatting sqref="AO25:AP25">
    <cfRule type="cellIs" priority="34" dxfId="0" operator="greaterThan">
      <formula>0</formula>
    </cfRule>
  </conditionalFormatting>
  <conditionalFormatting sqref="AQ25">
    <cfRule type="cellIs" priority="33" dxfId="0" operator="greaterThan">
      <formula>0</formula>
    </cfRule>
  </conditionalFormatting>
  <conditionalFormatting sqref="BA35:BB35">
    <cfRule type="cellIs" priority="32" dxfId="0" operator="greaterThan">
      <formula>0</formula>
    </cfRule>
  </conditionalFormatting>
  <conditionalFormatting sqref="BC35">
    <cfRule type="cellIs" priority="31" dxfId="0" operator="greaterThan">
      <formula>0</formula>
    </cfRule>
  </conditionalFormatting>
  <conditionalFormatting sqref="BA25:BB25">
    <cfRule type="cellIs" priority="30" dxfId="0" operator="greaterThan">
      <formula>0</formula>
    </cfRule>
  </conditionalFormatting>
  <conditionalFormatting sqref="BC25">
    <cfRule type="cellIs" priority="29" dxfId="0" operator="greaterThan">
      <formula>0</formula>
    </cfRule>
  </conditionalFormatting>
  <conditionalFormatting sqref="Q35:R35">
    <cfRule type="cellIs" priority="28" dxfId="0" operator="greaterThan">
      <formula>0</formula>
    </cfRule>
  </conditionalFormatting>
  <conditionalFormatting sqref="S35">
    <cfRule type="cellIs" priority="27" dxfId="0" operator="greaterThan">
      <formula>0</formula>
    </cfRule>
  </conditionalFormatting>
  <conditionalFormatting sqref="Q25:R25">
    <cfRule type="cellIs" priority="26" dxfId="0" operator="greaterThan">
      <formula>0</formula>
    </cfRule>
  </conditionalFormatting>
  <conditionalFormatting sqref="S25">
    <cfRule type="cellIs" priority="25" dxfId="0" operator="greaterThan">
      <formula>0</formula>
    </cfRule>
  </conditionalFormatting>
  <conditionalFormatting sqref="Q49:R49">
    <cfRule type="cellIs" priority="24" dxfId="0" operator="greaterThan">
      <formula>0</formula>
    </cfRule>
  </conditionalFormatting>
  <conditionalFormatting sqref="S49">
    <cfRule type="cellIs" priority="23" dxfId="0" operator="greaterThan">
      <formula>0</formula>
    </cfRule>
  </conditionalFormatting>
  <conditionalFormatting sqref="W21:X21">
    <cfRule type="cellIs" priority="22" dxfId="0" operator="greaterThan">
      <formula>0</formula>
    </cfRule>
  </conditionalFormatting>
  <conditionalFormatting sqref="Y21">
    <cfRule type="cellIs" priority="21" dxfId="0" operator="greaterThan">
      <formula>0</formula>
    </cfRule>
  </conditionalFormatting>
  <conditionalFormatting sqref="AC21:AD21">
    <cfRule type="cellIs" priority="20" dxfId="0" operator="greaterThan">
      <formula>0</formula>
    </cfRule>
  </conditionalFormatting>
  <conditionalFormatting sqref="AE21">
    <cfRule type="cellIs" priority="19" dxfId="0" operator="greaterThan">
      <formula>0</formula>
    </cfRule>
  </conditionalFormatting>
  <conditionalFormatting sqref="AI21:AJ21">
    <cfRule type="cellIs" priority="18" dxfId="0" operator="greaterThan">
      <formula>0</formula>
    </cfRule>
  </conditionalFormatting>
  <conditionalFormatting sqref="AK21">
    <cfRule type="cellIs" priority="17" dxfId="0" operator="greaterThan">
      <formula>0</formula>
    </cfRule>
  </conditionalFormatting>
  <conditionalFormatting sqref="AO21:AP21">
    <cfRule type="cellIs" priority="16" dxfId="0" operator="greaterThan">
      <formula>0</formula>
    </cfRule>
  </conditionalFormatting>
  <conditionalFormatting sqref="AQ21">
    <cfRule type="cellIs" priority="15" dxfId="0" operator="greaterThan">
      <formula>0</formula>
    </cfRule>
  </conditionalFormatting>
  <conditionalFormatting sqref="AU21:AV21">
    <cfRule type="cellIs" priority="14" dxfId="0" operator="greaterThan">
      <formula>0</formula>
    </cfRule>
  </conditionalFormatting>
  <conditionalFormatting sqref="AW21">
    <cfRule type="cellIs" priority="13" dxfId="0" operator="greaterThan">
      <formula>0</formula>
    </cfRule>
  </conditionalFormatting>
  <conditionalFormatting sqref="BA21:BB21">
    <cfRule type="cellIs" priority="12" dxfId="0" operator="greaterThan">
      <formula>0</formula>
    </cfRule>
  </conditionalFormatting>
  <conditionalFormatting sqref="BC21">
    <cfRule type="cellIs" priority="11" dxfId="0" operator="greaterThan">
      <formula>0</formula>
    </cfRule>
  </conditionalFormatting>
  <conditionalFormatting sqref="Q21:R21">
    <cfRule type="cellIs" priority="10" dxfId="0" operator="greaterThan">
      <formula>0</formula>
    </cfRule>
  </conditionalFormatting>
  <conditionalFormatting sqref="S21">
    <cfRule type="cellIs" priority="9" dxfId="0" operator="greaterThan">
      <formula>0</formula>
    </cfRule>
  </conditionalFormatting>
  <conditionalFormatting sqref="Q53:R53">
    <cfRule type="cellIs" priority="8" dxfId="0" operator="greaterThan">
      <formula>0</formula>
    </cfRule>
  </conditionalFormatting>
  <conditionalFormatting sqref="S53">
    <cfRule type="cellIs" priority="7" dxfId="0" operator="greaterThan">
      <formula>0</formula>
    </cfRule>
  </conditionalFormatting>
  <conditionalFormatting sqref="Q63:R63">
    <cfRule type="cellIs" priority="6" dxfId="0" operator="greaterThan">
      <formula>0</formula>
    </cfRule>
  </conditionalFormatting>
  <conditionalFormatting sqref="Q67:R67">
    <cfRule type="cellIs" priority="4" dxfId="0" operator="greaterThan">
      <formula>0</formula>
    </cfRule>
  </conditionalFormatting>
  <conditionalFormatting sqref="S67">
    <cfRule type="cellIs" priority="3" dxfId="0" operator="greaterThan">
      <formula>0</formula>
    </cfRule>
  </conditionalFormatting>
  <conditionalFormatting sqref="S63">
    <cfRule type="cellIs" priority="5" dxfId="0" operator="greaterThan">
      <formula>0</formula>
    </cfRule>
  </conditionalFormatting>
  <conditionalFormatting sqref="F63">
    <cfRule type="cellIs" priority="2" dxfId="67" operator="greaterThan">
      <formula>0</formula>
    </cfRule>
  </conditionalFormatting>
  <conditionalFormatting sqref="F69">
    <cfRule type="cellIs" priority="1" dxfId="67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2:AW81"/>
  <sheetViews>
    <sheetView zoomScale="55" zoomScaleNormal="55" workbookViewId="0" topLeftCell="A1">
      <pane xSplit="3" ySplit="20" topLeftCell="D33" activePane="bottomRight" state="frozen"/>
      <selection pane="topLeft" activeCell="Z86" sqref="Z86"/>
      <selection pane="topRight" activeCell="Z86" sqref="Z86"/>
      <selection pane="bottomLeft" activeCell="Z86" sqref="Z86"/>
      <selection pane="bottomRight" activeCell="AK80" sqref="AK80"/>
    </sheetView>
  </sheetViews>
  <sheetFormatPr defaultColWidth="10.140625" defaultRowHeight="15" outlineLevelRow="1" outlineLevelCol="1"/>
  <cols>
    <col min="1" max="1" width="0.9921875" style="357" customWidth="1"/>
    <col min="2" max="2" width="9.140625" style="357" customWidth="1"/>
    <col min="3" max="3" width="10.421875" style="357" customWidth="1"/>
    <col min="4" max="4" width="5.00390625" style="358" customWidth="1"/>
    <col min="5" max="5" width="3.7109375" style="359" customWidth="1"/>
    <col min="6" max="9" width="11.57421875" style="357" customWidth="1"/>
    <col min="10" max="10" width="3.7109375" style="359" customWidth="1"/>
    <col min="11" max="12" width="10.140625" style="357" hidden="1" customWidth="1" outlineLevel="1"/>
    <col min="13" max="15" width="11.7109375" style="360" hidden="1" customWidth="1" outlineLevel="1"/>
    <col min="16" max="16" width="3.7109375" style="359" hidden="1" customWidth="1" outlineLevel="1"/>
    <col min="17" max="17" width="12.7109375" style="361" customWidth="1" collapsed="1"/>
    <col min="18" max="19" width="12.7109375" style="361" customWidth="1"/>
    <col min="20" max="21" width="12.00390625" style="360" customWidth="1"/>
    <col min="22" max="22" width="3.7109375" style="359" customWidth="1"/>
    <col min="23" max="25" width="12.7109375" style="361" customWidth="1"/>
    <col min="26" max="27" width="12.00390625" style="360" customWidth="1"/>
    <col min="28" max="28" width="3.7109375" style="359" customWidth="1"/>
    <col min="29" max="31" width="12.7109375" style="361" customWidth="1"/>
    <col min="32" max="33" width="12.00390625" style="360" customWidth="1"/>
    <col min="34" max="34" width="3.7109375" style="359" customWidth="1"/>
    <col min="35" max="37" width="12.7109375" style="361" customWidth="1"/>
    <col min="38" max="39" width="12.00390625" style="360" customWidth="1"/>
    <col min="40" max="40" width="3.7109375" style="357" customWidth="1"/>
    <col min="41" max="41" width="14.00390625" style="357" customWidth="1"/>
    <col min="42" max="43" width="7.7109375" style="357" customWidth="1"/>
    <col min="44" max="44" width="14.00390625" style="357" customWidth="1"/>
    <col min="45" max="45" width="3.140625" style="357" customWidth="1"/>
    <col min="46" max="46" width="14.00390625" style="357" customWidth="1"/>
    <col min="47" max="48" width="7.7109375" style="357" customWidth="1"/>
    <col min="49" max="49" width="14.00390625" style="357" customWidth="1"/>
    <col min="50" max="50" width="3.7109375" style="357" customWidth="1"/>
    <col min="51" max="225" width="10.140625" style="357" customWidth="1"/>
    <col min="226" max="238" width="14.00390625" style="357" customWidth="1"/>
    <col min="239" max="481" width="10.140625" style="357" customWidth="1"/>
    <col min="482" max="494" width="14.00390625" style="357" customWidth="1"/>
    <col min="495" max="737" width="10.140625" style="357" customWidth="1"/>
    <col min="738" max="750" width="14.00390625" style="357" customWidth="1"/>
    <col min="751" max="993" width="10.140625" style="357" customWidth="1"/>
    <col min="994" max="1006" width="14.00390625" style="357" customWidth="1"/>
    <col min="1007" max="1249" width="10.140625" style="357" customWidth="1"/>
    <col min="1250" max="1262" width="14.00390625" style="357" customWidth="1"/>
    <col min="1263" max="1505" width="10.140625" style="357" customWidth="1"/>
    <col min="1506" max="1518" width="14.00390625" style="357" customWidth="1"/>
    <col min="1519" max="1761" width="10.140625" style="357" customWidth="1"/>
    <col min="1762" max="1774" width="14.00390625" style="357" customWidth="1"/>
    <col min="1775" max="2017" width="10.140625" style="357" customWidth="1"/>
    <col min="2018" max="2030" width="14.00390625" style="357" customWidth="1"/>
    <col min="2031" max="2273" width="10.140625" style="357" customWidth="1"/>
    <col min="2274" max="2286" width="14.00390625" style="357" customWidth="1"/>
    <col min="2287" max="2529" width="10.140625" style="357" customWidth="1"/>
    <col min="2530" max="2542" width="14.00390625" style="357" customWidth="1"/>
    <col min="2543" max="2785" width="10.140625" style="357" customWidth="1"/>
    <col min="2786" max="2798" width="14.00390625" style="357" customWidth="1"/>
    <col min="2799" max="3041" width="10.140625" style="357" customWidth="1"/>
    <col min="3042" max="3054" width="14.00390625" style="357" customWidth="1"/>
    <col min="3055" max="3297" width="10.140625" style="357" customWidth="1"/>
    <col min="3298" max="3310" width="14.00390625" style="357" customWidth="1"/>
    <col min="3311" max="3553" width="10.140625" style="357" customWidth="1"/>
    <col min="3554" max="3566" width="14.00390625" style="357" customWidth="1"/>
    <col min="3567" max="3809" width="10.140625" style="357" customWidth="1"/>
    <col min="3810" max="3822" width="14.00390625" style="357" customWidth="1"/>
    <col min="3823" max="4065" width="10.140625" style="357" customWidth="1"/>
    <col min="4066" max="4078" width="14.00390625" style="357" customWidth="1"/>
    <col min="4079" max="4321" width="10.140625" style="357" customWidth="1"/>
    <col min="4322" max="4334" width="14.00390625" style="357" customWidth="1"/>
    <col min="4335" max="4577" width="10.140625" style="357" customWidth="1"/>
    <col min="4578" max="4590" width="14.00390625" style="357" customWidth="1"/>
    <col min="4591" max="4833" width="10.140625" style="357" customWidth="1"/>
    <col min="4834" max="4846" width="14.00390625" style="357" customWidth="1"/>
    <col min="4847" max="5089" width="10.140625" style="357" customWidth="1"/>
    <col min="5090" max="5102" width="14.00390625" style="357" customWidth="1"/>
    <col min="5103" max="5345" width="10.140625" style="357" customWidth="1"/>
    <col min="5346" max="5358" width="14.00390625" style="357" customWidth="1"/>
    <col min="5359" max="5601" width="10.140625" style="357" customWidth="1"/>
    <col min="5602" max="5614" width="14.00390625" style="357" customWidth="1"/>
    <col min="5615" max="5857" width="10.140625" style="357" customWidth="1"/>
    <col min="5858" max="5870" width="14.00390625" style="357" customWidth="1"/>
    <col min="5871" max="6113" width="10.140625" style="357" customWidth="1"/>
    <col min="6114" max="6126" width="14.00390625" style="357" customWidth="1"/>
    <col min="6127" max="6369" width="10.140625" style="357" customWidth="1"/>
    <col min="6370" max="6382" width="14.00390625" style="357" customWidth="1"/>
    <col min="6383" max="6625" width="10.140625" style="357" customWidth="1"/>
    <col min="6626" max="6638" width="14.00390625" style="357" customWidth="1"/>
    <col min="6639" max="6881" width="10.140625" style="357" customWidth="1"/>
    <col min="6882" max="6894" width="14.00390625" style="357" customWidth="1"/>
    <col min="6895" max="7137" width="10.140625" style="357" customWidth="1"/>
    <col min="7138" max="7150" width="14.00390625" style="357" customWidth="1"/>
    <col min="7151" max="7393" width="10.140625" style="357" customWidth="1"/>
    <col min="7394" max="7406" width="14.00390625" style="357" customWidth="1"/>
    <col min="7407" max="7649" width="10.140625" style="357" customWidth="1"/>
    <col min="7650" max="7662" width="14.00390625" style="357" customWidth="1"/>
    <col min="7663" max="7905" width="10.140625" style="357" customWidth="1"/>
    <col min="7906" max="7918" width="14.00390625" style="357" customWidth="1"/>
    <col min="7919" max="8161" width="10.140625" style="357" customWidth="1"/>
    <col min="8162" max="8174" width="14.00390625" style="357" customWidth="1"/>
    <col min="8175" max="8417" width="10.140625" style="357" customWidth="1"/>
    <col min="8418" max="8430" width="14.00390625" style="357" customWidth="1"/>
    <col min="8431" max="8673" width="10.140625" style="357" customWidth="1"/>
    <col min="8674" max="8686" width="14.00390625" style="357" customWidth="1"/>
    <col min="8687" max="8929" width="10.140625" style="357" customWidth="1"/>
    <col min="8930" max="8942" width="14.00390625" style="357" customWidth="1"/>
    <col min="8943" max="9185" width="10.140625" style="357" customWidth="1"/>
    <col min="9186" max="9198" width="14.00390625" style="357" customWidth="1"/>
    <col min="9199" max="9441" width="10.140625" style="357" customWidth="1"/>
    <col min="9442" max="9454" width="14.00390625" style="357" customWidth="1"/>
    <col min="9455" max="9697" width="10.140625" style="357" customWidth="1"/>
    <col min="9698" max="9710" width="14.00390625" style="357" customWidth="1"/>
    <col min="9711" max="9953" width="10.140625" style="357" customWidth="1"/>
    <col min="9954" max="9966" width="14.00390625" style="357" customWidth="1"/>
    <col min="9967" max="10209" width="10.140625" style="357" customWidth="1"/>
    <col min="10210" max="10222" width="14.00390625" style="357" customWidth="1"/>
    <col min="10223" max="10465" width="10.140625" style="357" customWidth="1"/>
    <col min="10466" max="10478" width="14.00390625" style="357" customWidth="1"/>
    <col min="10479" max="10721" width="10.140625" style="357" customWidth="1"/>
    <col min="10722" max="10734" width="14.00390625" style="357" customWidth="1"/>
    <col min="10735" max="10977" width="10.140625" style="357" customWidth="1"/>
    <col min="10978" max="10990" width="14.00390625" style="357" customWidth="1"/>
    <col min="10991" max="11233" width="10.140625" style="357" customWidth="1"/>
    <col min="11234" max="11246" width="14.00390625" style="357" customWidth="1"/>
    <col min="11247" max="11489" width="10.140625" style="357" customWidth="1"/>
    <col min="11490" max="11502" width="14.00390625" style="357" customWidth="1"/>
    <col min="11503" max="11745" width="10.140625" style="357" customWidth="1"/>
    <col min="11746" max="11758" width="14.00390625" style="357" customWidth="1"/>
    <col min="11759" max="12001" width="10.140625" style="357" customWidth="1"/>
    <col min="12002" max="12014" width="14.00390625" style="357" customWidth="1"/>
    <col min="12015" max="12257" width="10.140625" style="357" customWidth="1"/>
    <col min="12258" max="12270" width="14.00390625" style="357" customWidth="1"/>
    <col min="12271" max="12513" width="10.140625" style="357" customWidth="1"/>
    <col min="12514" max="12526" width="14.00390625" style="357" customWidth="1"/>
    <col min="12527" max="12769" width="10.140625" style="357" customWidth="1"/>
    <col min="12770" max="12782" width="14.00390625" style="357" customWidth="1"/>
    <col min="12783" max="13025" width="10.140625" style="357" customWidth="1"/>
    <col min="13026" max="13038" width="14.00390625" style="357" customWidth="1"/>
    <col min="13039" max="13281" width="10.140625" style="357" customWidth="1"/>
    <col min="13282" max="13294" width="14.00390625" style="357" customWidth="1"/>
    <col min="13295" max="13537" width="10.140625" style="357" customWidth="1"/>
    <col min="13538" max="13550" width="14.00390625" style="357" customWidth="1"/>
    <col min="13551" max="13793" width="10.140625" style="357" customWidth="1"/>
    <col min="13794" max="13806" width="14.00390625" style="357" customWidth="1"/>
    <col min="13807" max="14049" width="10.140625" style="357" customWidth="1"/>
    <col min="14050" max="14062" width="14.00390625" style="357" customWidth="1"/>
    <col min="14063" max="14305" width="10.140625" style="357" customWidth="1"/>
    <col min="14306" max="14318" width="14.00390625" style="357" customWidth="1"/>
    <col min="14319" max="14561" width="10.140625" style="357" customWidth="1"/>
    <col min="14562" max="14574" width="14.00390625" style="357" customWidth="1"/>
    <col min="14575" max="14817" width="10.140625" style="357" customWidth="1"/>
    <col min="14818" max="14830" width="14.00390625" style="357" customWidth="1"/>
    <col min="14831" max="15073" width="10.140625" style="357" customWidth="1"/>
    <col min="15074" max="15086" width="14.00390625" style="357" customWidth="1"/>
    <col min="15087" max="15329" width="10.140625" style="357" customWidth="1"/>
    <col min="15330" max="15342" width="14.00390625" style="357" customWidth="1"/>
    <col min="15343" max="15585" width="10.140625" style="357" customWidth="1"/>
    <col min="15586" max="15598" width="14.00390625" style="357" customWidth="1"/>
    <col min="15599" max="15841" width="10.140625" style="357" customWidth="1"/>
    <col min="15842" max="15854" width="14.00390625" style="357" customWidth="1"/>
    <col min="15855" max="16097" width="10.140625" style="357" customWidth="1"/>
    <col min="16098" max="16110" width="14.00390625" style="357" customWidth="1"/>
    <col min="16111" max="16384" width="10.140625" style="357" customWidth="1"/>
  </cols>
  <sheetData>
    <row r="1" ht="4.5" customHeight="1"/>
    <row r="2" spans="2:49" ht="15" customHeight="1">
      <c r="B2" s="362"/>
      <c r="C2" s="363"/>
      <c r="D2" s="363"/>
      <c r="E2" s="357"/>
      <c r="F2" s="662" t="s">
        <v>6</v>
      </c>
      <c r="G2" s="662"/>
      <c r="H2" s="356"/>
      <c r="I2" s="356"/>
      <c r="J2" s="357"/>
      <c r="K2" s="733" t="s">
        <v>144</v>
      </c>
      <c r="L2" s="733"/>
      <c r="M2" s="733"/>
      <c r="N2" s="364"/>
      <c r="O2" s="364"/>
      <c r="P2" s="357"/>
      <c r="Q2" s="730" t="s">
        <v>3</v>
      </c>
      <c r="R2" s="730"/>
      <c r="S2" s="730"/>
      <c r="T2" s="730"/>
      <c r="U2" s="365"/>
      <c r="V2" s="357"/>
      <c r="W2" s="730" t="s">
        <v>3</v>
      </c>
      <c r="X2" s="730"/>
      <c r="Y2" s="730"/>
      <c r="Z2" s="730"/>
      <c r="AA2" s="365"/>
      <c r="AB2" s="357"/>
      <c r="AC2" s="730" t="s">
        <v>3</v>
      </c>
      <c r="AD2" s="730"/>
      <c r="AE2" s="730"/>
      <c r="AF2" s="730"/>
      <c r="AG2" s="365"/>
      <c r="AH2" s="357"/>
      <c r="AI2" s="730" t="s">
        <v>3</v>
      </c>
      <c r="AJ2" s="730"/>
      <c r="AK2" s="730"/>
      <c r="AL2" s="730"/>
      <c r="AM2" s="365"/>
      <c r="AO2" s="665" t="s">
        <v>7</v>
      </c>
      <c r="AP2" s="665"/>
      <c r="AQ2" s="665"/>
      <c r="AR2" s="665"/>
      <c r="AT2" s="731" t="s">
        <v>7</v>
      </c>
      <c r="AU2" s="731"/>
      <c r="AV2" s="731"/>
      <c r="AW2" s="731"/>
    </row>
    <row r="3" spans="2:49" ht="15" customHeight="1">
      <c r="B3" s="362"/>
      <c r="C3" s="363"/>
      <c r="D3" s="363"/>
      <c r="E3" s="357"/>
      <c r="F3" s="366" t="s">
        <v>193</v>
      </c>
      <c r="G3" s="366"/>
      <c r="H3" s="367"/>
      <c r="I3" s="367"/>
      <c r="J3" s="357"/>
      <c r="K3" s="732" t="s">
        <v>167</v>
      </c>
      <c r="L3" s="732"/>
      <c r="M3" s="732"/>
      <c r="N3" s="368"/>
      <c r="O3" s="368"/>
      <c r="P3" s="357"/>
      <c r="Q3" s="728" t="s">
        <v>194</v>
      </c>
      <c r="R3" s="728"/>
      <c r="S3" s="728"/>
      <c r="T3" s="728"/>
      <c r="U3" s="369"/>
      <c r="V3" s="357"/>
      <c r="W3" s="728" t="s">
        <v>194</v>
      </c>
      <c r="X3" s="728"/>
      <c r="Y3" s="728"/>
      <c r="Z3" s="728"/>
      <c r="AA3" s="369"/>
      <c r="AB3" s="357"/>
      <c r="AC3" s="728" t="s">
        <v>194</v>
      </c>
      <c r="AD3" s="728"/>
      <c r="AE3" s="728"/>
      <c r="AF3" s="728"/>
      <c r="AG3" s="369"/>
      <c r="AH3" s="357"/>
      <c r="AI3" s="728" t="s">
        <v>194</v>
      </c>
      <c r="AJ3" s="728"/>
      <c r="AK3" s="728"/>
      <c r="AL3" s="728"/>
      <c r="AM3" s="369"/>
      <c r="AO3" s="666" t="s">
        <v>195</v>
      </c>
      <c r="AP3" s="666"/>
      <c r="AQ3" s="666"/>
      <c r="AR3" s="666"/>
      <c r="AT3" s="729" t="s">
        <v>196</v>
      </c>
      <c r="AU3" s="729"/>
      <c r="AV3" s="729"/>
      <c r="AW3" s="729"/>
    </row>
    <row r="4" spans="2:49" ht="15" customHeight="1">
      <c r="B4" s="362"/>
      <c r="C4" s="363"/>
      <c r="D4" s="363"/>
      <c r="E4" s="357"/>
      <c r="F4" s="367"/>
      <c r="G4" s="367"/>
      <c r="H4" s="367"/>
      <c r="I4" s="367"/>
      <c r="J4" s="357"/>
      <c r="K4" s="368"/>
      <c r="L4" s="368"/>
      <c r="M4" s="368"/>
      <c r="N4" s="368"/>
      <c r="O4" s="368"/>
      <c r="P4" s="357"/>
      <c r="Q4" s="758" t="s">
        <v>197</v>
      </c>
      <c r="R4" s="758"/>
      <c r="S4" s="758"/>
      <c r="T4" s="758"/>
      <c r="U4" s="369"/>
      <c r="V4" s="357"/>
      <c r="W4" s="758" t="s">
        <v>198</v>
      </c>
      <c r="X4" s="758"/>
      <c r="Y4" s="758"/>
      <c r="Z4" s="758"/>
      <c r="AA4" s="369"/>
      <c r="AB4" s="357"/>
      <c r="AC4" s="758" t="s">
        <v>199</v>
      </c>
      <c r="AD4" s="758"/>
      <c r="AE4" s="758"/>
      <c r="AF4" s="758"/>
      <c r="AG4" s="369"/>
      <c r="AH4" s="357"/>
      <c r="AI4" s="758" t="s">
        <v>200</v>
      </c>
      <c r="AJ4" s="758"/>
      <c r="AK4" s="758"/>
      <c r="AL4" s="758"/>
      <c r="AM4" s="369"/>
      <c r="AO4" s="5"/>
      <c r="AP4" s="5"/>
      <c r="AQ4" s="5"/>
      <c r="AR4" s="5"/>
      <c r="AT4" s="370"/>
      <c r="AU4" s="370"/>
      <c r="AV4" s="370"/>
      <c r="AW4" s="370"/>
    </row>
    <row r="5" spans="2:49" ht="15" customHeight="1">
      <c r="B5" s="726"/>
      <c r="C5" s="363"/>
      <c r="D5" s="363"/>
      <c r="E5" s="357"/>
      <c r="F5" s="324" t="s">
        <v>0</v>
      </c>
      <c r="G5" s="324" t="s">
        <v>4</v>
      </c>
      <c r="H5" s="324" t="s">
        <v>5</v>
      </c>
      <c r="I5" s="324" t="s">
        <v>184</v>
      </c>
      <c r="J5" s="357"/>
      <c r="K5" s="371" t="s">
        <v>185</v>
      </c>
      <c r="L5" s="371" t="s">
        <v>8</v>
      </c>
      <c r="M5" s="372" t="s">
        <v>4</v>
      </c>
      <c r="N5" s="372" t="s">
        <v>5</v>
      </c>
      <c r="O5" s="372" t="s">
        <v>115</v>
      </c>
      <c r="P5" s="357"/>
      <c r="Q5" s="373" t="s">
        <v>186</v>
      </c>
      <c r="R5" s="373" t="s">
        <v>187</v>
      </c>
      <c r="S5" s="373" t="s">
        <v>188</v>
      </c>
      <c r="T5" s="374" t="s">
        <v>4</v>
      </c>
      <c r="U5" s="374" t="s">
        <v>5</v>
      </c>
      <c r="V5" s="357"/>
      <c r="W5" s="373" t="s">
        <v>186</v>
      </c>
      <c r="X5" s="373" t="s">
        <v>187</v>
      </c>
      <c r="Y5" s="373" t="s">
        <v>188</v>
      </c>
      <c r="Z5" s="374" t="s">
        <v>4</v>
      </c>
      <c r="AA5" s="374" t="s">
        <v>5</v>
      </c>
      <c r="AB5" s="357"/>
      <c r="AC5" s="373" t="s">
        <v>186</v>
      </c>
      <c r="AD5" s="373" t="s">
        <v>187</v>
      </c>
      <c r="AE5" s="373" t="s">
        <v>188</v>
      </c>
      <c r="AF5" s="374" t="s">
        <v>4</v>
      </c>
      <c r="AG5" s="374" t="s">
        <v>5</v>
      </c>
      <c r="AH5" s="357"/>
      <c r="AI5" s="373" t="s">
        <v>186</v>
      </c>
      <c r="AJ5" s="373" t="s">
        <v>187</v>
      </c>
      <c r="AK5" s="373" t="s">
        <v>188</v>
      </c>
      <c r="AL5" s="374" t="s">
        <v>4</v>
      </c>
      <c r="AM5" s="374" t="s">
        <v>5</v>
      </c>
      <c r="AO5" s="375" t="s">
        <v>8</v>
      </c>
      <c r="AP5" s="376" t="s">
        <v>189</v>
      </c>
      <c r="AQ5" s="376" t="s">
        <v>190</v>
      </c>
      <c r="AR5" s="377" t="s">
        <v>191</v>
      </c>
      <c r="AT5" s="378" t="s">
        <v>192</v>
      </c>
      <c r="AU5" s="379" t="s">
        <v>189</v>
      </c>
      <c r="AV5" s="379" t="s">
        <v>190</v>
      </c>
      <c r="AW5" s="380" t="s">
        <v>201</v>
      </c>
    </row>
    <row r="6" spans="2:49" ht="8.25" customHeight="1">
      <c r="B6" s="726"/>
      <c r="C6" s="363"/>
      <c r="D6" s="381"/>
      <c r="F6" s="382"/>
      <c r="G6" s="382"/>
      <c r="H6" s="382"/>
      <c r="I6" s="382"/>
      <c r="M6" s="383"/>
      <c r="N6" s="383"/>
      <c r="O6" s="383"/>
      <c r="T6" s="383"/>
      <c r="U6" s="383"/>
      <c r="Z6" s="383"/>
      <c r="AA6" s="383"/>
      <c r="AF6" s="383"/>
      <c r="AG6" s="383"/>
      <c r="AL6" s="383"/>
      <c r="AM6" s="383"/>
      <c r="AT6" s="385"/>
      <c r="AU6" s="385"/>
      <c r="AV6" s="385"/>
      <c r="AW6" s="385"/>
    </row>
    <row r="7" spans="2:49" ht="15.75" hidden="1" outlineLevel="1">
      <c r="B7" s="386">
        <v>2016</v>
      </c>
      <c r="C7" s="387" t="s">
        <v>147</v>
      </c>
      <c r="D7" s="388">
        <v>31</v>
      </c>
      <c r="E7" s="389"/>
      <c r="F7" s="686"/>
      <c r="G7" s="686"/>
      <c r="H7" s="686"/>
      <c r="I7" s="686"/>
      <c r="J7" s="389"/>
      <c r="K7" s="390"/>
      <c r="L7" s="390"/>
      <c r="M7" s="390"/>
      <c r="N7" s="390"/>
      <c r="O7" s="390"/>
      <c r="P7" s="389"/>
      <c r="Q7" s="391"/>
      <c r="R7" s="392"/>
      <c r="S7" s="392"/>
      <c r="T7" s="451"/>
      <c r="U7" s="451"/>
      <c r="V7" s="389"/>
      <c r="W7" s="391"/>
      <c r="X7" s="392"/>
      <c r="Y7" s="392"/>
      <c r="Z7" s="394"/>
      <c r="AA7" s="451"/>
      <c r="AB7" s="389"/>
      <c r="AC7" s="391"/>
      <c r="AD7" s="392"/>
      <c r="AE7" s="392"/>
      <c r="AF7" s="394"/>
      <c r="AG7" s="451"/>
      <c r="AH7" s="389"/>
      <c r="AI7" s="391"/>
      <c r="AJ7" s="392"/>
      <c r="AK7" s="392"/>
      <c r="AL7" s="394"/>
      <c r="AM7" s="451"/>
      <c r="AO7" s="671"/>
      <c r="AP7" s="716"/>
      <c r="AQ7" s="716"/>
      <c r="AR7" s="749"/>
      <c r="AT7" s="696"/>
      <c r="AU7" s="744"/>
      <c r="AV7" s="744"/>
      <c r="AW7" s="746"/>
    </row>
    <row r="8" spans="3:49" ht="15" hidden="1" outlineLevel="1">
      <c r="C8" s="387" t="s">
        <v>148</v>
      </c>
      <c r="D8" s="388">
        <v>29</v>
      </c>
      <c r="E8" s="384"/>
      <c r="F8" s="687"/>
      <c r="G8" s="687"/>
      <c r="H8" s="687"/>
      <c r="I8" s="687"/>
      <c r="J8" s="384"/>
      <c r="K8" s="390"/>
      <c r="L8" s="390"/>
      <c r="M8" s="390"/>
      <c r="N8" s="390"/>
      <c r="O8" s="390"/>
      <c r="P8" s="384"/>
      <c r="Q8" s="391"/>
      <c r="R8" s="392"/>
      <c r="S8" s="392"/>
      <c r="T8" s="451"/>
      <c r="U8" s="451"/>
      <c r="V8" s="384"/>
      <c r="W8" s="391"/>
      <c r="X8" s="392"/>
      <c r="Y8" s="392"/>
      <c r="Z8" s="394"/>
      <c r="AA8" s="451"/>
      <c r="AB8" s="384"/>
      <c r="AC8" s="391"/>
      <c r="AD8" s="392"/>
      <c r="AE8" s="392"/>
      <c r="AF8" s="394"/>
      <c r="AG8" s="451"/>
      <c r="AH8" s="384"/>
      <c r="AI8" s="391"/>
      <c r="AJ8" s="392"/>
      <c r="AK8" s="392"/>
      <c r="AL8" s="394"/>
      <c r="AM8" s="451"/>
      <c r="AO8" s="672"/>
      <c r="AP8" s="689"/>
      <c r="AQ8" s="689"/>
      <c r="AR8" s="750"/>
      <c r="AT8" s="697"/>
      <c r="AU8" s="707"/>
      <c r="AV8" s="707"/>
      <c r="AW8" s="747"/>
    </row>
    <row r="9" spans="3:49" ht="15" hidden="1" outlineLevel="1">
      <c r="C9" s="387" t="s">
        <v>149</v>
      </c>
      <c r="D9" s="388">
        <v>31</v>
      </c>
      <c r="E9" s="384"/>
      <c r="F9" s="687"/>
      <c r="G9" s="687"/>
      <c r="H9" s="687"/>
      <c r="I9" s="687"/>
      <c r="J9" s="384"/>
      <c r="K9" s="390"/>
      <c r="L9" s="390"/>
      <c r="M9" s="390"/>
      <c r="N9" s="390"/>
      <c r="O9" s="390"/>
      <c r="P9" s="384"/>
      <c r="Q9" s="391"/>
      <c r="R9" s="392"/>
      <c r="S9" s="392"/>
      <c r="T9" s="451"/>
      <c r="U9" s="451"/>
      <c r="V9" s="384"/>
      <c r="W9" s="391"/>
      <c r="X9" s="392"/>
      <c r="Y9" s="392"/>
      <c r="Z9" s="394"/>
      <c r="AA9" s="451"/>
      <c r="AB9" s="384"/>
      <c r="AC9" s="391"/>
      <c r="AD9" s="392"/>
      <c r="AE9" s="392"/>
      <c r="AF9" s="394"/>
      <c r="AG9" s="451"/>
      <c r="AH9" s="384"/>
      <c r="AI9" s="391"/>
      <c r="AJ9" s="392"/>
      <c r="AK9" s="392"/>
      <c r="AL9" s="394"/>
      <c r="AM9" s="451"/>
      <c r="AO9" s="672"/>
      <c r="AP9" s="689"/>
      <c r="AQ9" s="689"/>
      <c r="AR9" s="750"/>
      <c r="AT9" s="697"/>
      <c r="AU9" s="707"/>
      <c r="AV9" s="707"/>
      <c r="AW9" s="747"/>
    </row>
    <row r="10" spans="3:49" ht="15" hidden="1" outlineLevel="1">
      <c r="C10" s="387" t="s">
        <v>150</v>
      </c>
      <c r="D10" s="388">
        <v>30</v>
      </c>
      <c r="E10" s="384"/>
      <c r="F10" s="687"/>
      <c r="G10" s="687"/>
      <c r="H10" s="687"/>
      <c r="I10" s="687"/>
      <c r="J10" s="384"/>
      <c r="K10" s="390"/>
      <c r="L10" s="390"/>
      <c r="M10" s="390"/>
      <c r="N10" s="390"/>
      <c r="O10" s="390"/>
      <c r="P10" s="384"/>
      <c r="Q10" s="391"/>
      <c r="R10" s="392"/>
      <c r="S10" s="392"/>
      <c r="T10" s="451"/>
      <c r="U10" s="451"/>
      <c r="V10" s="384"/>
      <c r="W10" s="391"/>
      <c r="X10" s="392"/>
      <c r="Y10" s="392"/>
      <c r="Z10" s="394"/>
      <c r="AA10" s="451"/>
      <c r="AB10" s="384"/>
      <c r="AC10" s="391"/>
      <c r="AD10" s="392"/>
      <c r="AE10" s="392"/>
      <c r="AF10" s="394"/>
      <c r="AG10" s="451"/>
      <c r="AH10" s="384"/>
      <c r="AI10" s="391"/>
      <c r="AJ10" s="392"/>
      <c r="AK10" s="392"/>
      <c r="AL10" s="394"/>
      <c r="AM10" s="451"/>
      <c r="AO10" s="672"/>
      <c r="AP10" s="689"/>
      <c r="AQ10" s="689"/>
      <c r="AR10" s="750"/>
      <c r="AT10" s="697"/>
      <c r="AU10" s="707"/>
      <c r="AV10" s="707"/>
      <c r="AW10" s="747"/>
    </row>
    <row r="11" spans="3:49" ht="15" hidden="1" outlineLevel="1">
      <c r="C11" s="387" t="s">
        <v>151</v>
      </c>
      <c r="D11" s="388">
        <v>31</v>
      </c>
      <c r="E11" s="384"/>
      <c r="F11" s="687"/>
      <c r="G11" s="687"/>
      <c r="H11" s="687"/>
      <c r="I11" s="687"/>
      <c r="J11" s="384"/>
      <c r="K11" s="390"/>
      <c r="L11" s="390"/>
      <c r="M11" s="390"/>
      <c r="N11" s="390"/>
      <c r="O11" s="390"/>
      <c r="P11" s="384"/>
      <c r="Q11" s="738">
        <v>1874</v>
      </c>
      <c r="R11" s="686">
        <v>0</v>
      </c>
      <c r="S11" s="686">
        <f>Q11+R11</f>
        <v>1874</v>
      </c>
      <c r="T11" s="736">
        <f>2649.84+363+3871.33+927.63+726.03+186.86+53.08+53.03</f>
        <v>8830.800000000001</v>
      </c>
      <c r="U11" s="736">
        <f>T11*1.21</f>
        <v>10685.268000000002</v>
      </c>
      <c r="V11" s="384"/>
      <c r="W11" s="738">
        <v>13833.5</v>
      </c>
      <c r="X11" s="686">
        <v>0</v>
      </c>
      <c r="Y11" s="686">
        <f>W11+X11</f>
        <v>13833.5</v>
      </c>
      <c r="Z11" s="736">
        <f>19560.57+363+28577.38+6847.58+2920.25+1379.34+53.08+391.49</f>
        <v>60092.689999999995</v>
      </c>
      <c r="AA11" s="736">
        <f>Z11*1.21</f>
        <v>72712.1549</v>
      </c>
      <c r="AB11" s="384"/>
      <c r="AC11" s="738">
        <v>8890</v>
      </c>
      <c r="AD11" s="686">
        <v>0</v>
      </c>
      <c r="AE11" s="686">
        <f>AC11+AD11</f>
        <v>8890</v>
      </c>
      <c r="AF11" s="736">
        <f>12570.46+363+18365.05+4400.55+2299.1+886.42+53.08+251.59</f>
        <v>39189.24999999999</v>
      </c>
      <c r="AG11" s="736">
        <f>AF11*1.21</f>
        <v>47418.99249999999</v>
      </c>
      <c r="AH11" s="384"/>
      <c r="AI11" s="738">
        <v>3091</v>
      </c>
      <c r="AJ11" s="686">
        <v>0</v>
      </c>
      <c r="AK11" s="686">
        <f>AI11+AJ11</f>
        <v>3091</v>
      </c>
      <c r="AL11" s="736">
        <f>5340.54+53.04+1960.7+5187.08+394.95+53.08+112.1</f>
        <v>13101.490000000002</v>
      </c>
      <c r="AM11" s="736">
        <f>AL11*1.21</f>
        <v>15852.8029</v>
      </c>
      <c r="AO11" s="672"/>
      <c r="AP11" s="689"/>
      <c r="AQ11" s="689"/>
      <c r="AR11" s="750"/>
      <c r="AT11" s="697"/>
      <c r="AU11" s="707"/>
      <c r="AV11" s="707"/>
      <c r="AW11" s="747"/>
    </row>
    <row r="12" spans="3:49" ht="15" hidden="1" outlineLevel="1">
      <c r="C12" s="387" t="s">
        <v>152</v>
      </c>
      <c r="D12" s="388">
        <v>30</v>
      </c>
      <c r="E12" s="384"/>
      <c r="F12" s="687"/>
      <c r="G12" s="687"/>
      <c r="H12" s="687"/>
      <c r="I12" s="687"/>
      <c r="J12" s="384"/>
      <c r="K12" s="390"/>
      <c r="L12" s="390"/>
      <c r="M12" s="390"/>
      <c r="N12" s="390"/>
      <c r="O12" s="390"/>
      <c r="P12" s="384"/>
      <c r="Q12" s="739"/>
      <c r="R12" s="687"/>
      <c r="S12" s="687"/>
      <c r="T12" s="737"/>
      <c r="U12" s="737"/>
      <c r="V12" s="384"/>
      <c r="W12" s="739"/>
      <c r="X12" s="687"/>
      <c r="Y12" s="687"/>
      <c r="Z12" s="737"/>
      <c r="AA12" s="737"/>
      <c r="AB12" s="384"/>
      <c r="AC12" s="739"/>
      <c r="AD12" s="687"/>
      <c r="AE12" s="687"/>
      <c r="AF12" s="737"/>
      <c r="AG12" s="737"/>
      <c r="AH12" s="384"/>
      <c r="AI12" s="739"/>
      <c r="AJ12" s="687"/>
      <c r="AK12" s="687"/>
      <c r="AL12" s="737"/>
      <c r="AM12" s="737"/>
      <c r="AO12" s="672"/>
      <c r="AP12" s="689"/>
      <c r="AQ12" s="689"/>
      <c r="AR12" s="750"/>
      <c r="AT12" s="697"/>
      <c r="AU12" s="707"/>
      <c r="AV12" s="707"/>
      <c r="AW12" s="747"/>
    </row>
    <row r="13" spans="3:49" ht="15" hidden="1" outlineLevel="1">
      <c r="C13" s="387" t="s">
        <v>153</v>
      </c>
      <c r="D13" s="388">
        <v>31</v>
      </c>
      <c r="E13" s="384"/>
      <c r="F13" s="687"/>
      <c r="G13" s="687"/>
      <c r="H13" s="687"/>
      <c r="I13" s="687"/>
      <c r="J13" s="384"/>
      <c r="K13" s="390"/>
      <c r="L13" s="390"/>
      <c r="M13" s="390"/>
      <c r="N13" s="390"/>
      <c r="O13" s="390"/>
      <c r="P13" s="384"/>
      <c r="Q13" s="739"/>
      <c r="R13" s="687"/>
      <c r="S13" s="687"/>
      <c r="T13" s="737"/>
      <c r="U13" s="737"/>
      <c r="V13" s="384"/>
      <c r="W13" s="739"/>
      <c r="X13" s="687"/>
      <c r="Y13" s="687"/>
      <c r="Z13" s="737"/>
      <c r="AA13" s="737"/>
      <c r="AB13" s="384"/>
      <c r="AC13" s="739"/>
      <c r="AD13" s="687"/>
      <c r="AE13" s="687"/>
      <c r="AF13" s="737"/>
      <c r="AG13" s="737"/>
      <c r="AH13" s="384"/>
      <c r="AI13" s="739"/>
      <c r="AJ13" s="687"/>
      <c r="AK13" s="687"/>
      <c r="AL13" s="737"/>
      <c r="AM13" s="737"/>
      <c r="AO13" s="672"/>
      <c r="AP13" s="689"/>
      <c r="AQ13" s="689"/>
      <c r="AR13" s="750"/>
      <c r="AT13" s="697"/>
      <c r="AU13" s="707"/>
      <c r="AV13" s="707"/>
      <c r="AW13" s="747"/>
    </row>
    <row r="14" spans="3:49" ht="15" hidden="1" outlineLevel="1">
      <c r="C14" s="387" t="s">
        <v>154</v>
      </c>
      <c r="D14" s="388">
        <v>31</v>
      </c>
      <c r="E14" s="384"/>
      <c r="F14" s="687"/>
      <c r="G14" s="687"/>
      <c r="H14" s="687"/>
      <c r="I14" s="687"/>
      <c r="J14" s="384"/>
      <c r="K14" s="390"/>
      <c r="L14" s="390"/>
      <c r="M14" s="390"/>
      <c r="N14" s="390"/>
      <c r="O14" s="390"/>
      <c r="P14" s="384"/>
      <c r="Q14" s="739"/>
      <c r="R14" s="687"/>
      <c r="S14" s="687"/>
      <c r="T14" s="737"/>
      <c r="U14" s="737"/>
      <c r="V14" s="384"/>
      <c r="W14" s="739"/>
      <c r="X14" s="687"/>
      <c r="Y14" s="687"/>
      <c r="Z14" s="737"/>
      <c r="AA14" s="737"/>
      <c r="AB14" s="384"/>
      <c r="AC14" s="739"/>
      <c r="AD14" s="687"/>
      <c r="AE14" s="687"/>
      <c r="AF14" s="737"/>
      <c r="AG14" s="737"/>
      <c r="AH14" s="384"/>
      <c r="AI14" s="739"/>
      <c r="AJ14" s="687"/>
      <c r="AK14" s="687"/>
      <c r="AL14" s="737"/>
      <c r="AM14" s="737"/>
      <c r="AO14" s="672"/>
      <c r="AP14" s="689"/>
      <c r="AQ14" s="689"/>
      <c r="AR14" s="750"/>
      <c r="AT14" s="697"/>
      <c r="AU14" s="707"/>
      <c r="AV14" s="707"/>
      <c r="AW14" s="747"/>
    </row>
    <row r="15" spans="3:49" ht="15" hidden="1" outlineLevel="1">
      <c r="C15" s="387" t="s">
        <v>155</v>
      </c>
      <c r="D15" s="388">
        <v>30</v>
      </c>
      <c r="E15" s="384"/>
      <c r="F15" s="687"/>
      <c r="G15" s="687"/>
      <c r="H15" s="687"/>
      <c r="I15" s="687"/>
      <c r="J15" s="384"/>
      <c r="K15" s="390"/>
      <c r="L15" s="390"/>
      <c r="M15" s="390"/>
      <c r="N15" s="390"/>
      <c r="O15" s="390"/>
      <c r="P15" s="384"/>
      <c r="Q15" s="739"/>
      <c r="R15" s="687"/>
      <c r="S15" s="687"/>
      <c r="T15" s="737"/>
      <c r="U15" s="737"/>
      <c r="V15" s="384"/>
      <c r="W15" s="739"/>
      <c r="X15" s="687"/>
      <c r="Y15" s="687"/>
      <c r="Z15" s="737"/>
      <c r="AA15" s="737"/>
      <c r="AB15" s="384"/>
      <c r="AC15" s="739"/>
      <c r="AD15" s="687"/>
      <c r="AE15" s="687"/>
      <c r="AF15" s="737"/>
      <c r="AG15" s="737"/>
      <c r="AH15" s="384"/>
      <c r="AI15" s="739"/>
      <c r="AJ15" s="687"/>
      <c r="AK15" s="687"/>
      <c r="AL15" s="737"/>
      <c r="AM15" s="737"/>
      <c r="AO15" s="672"/>
      <c r="AP15" s="689"/>
      <c r="AQ15" s="689"/>
      <c r="AR15" s="750"/>
      <c r="AT15" s="697"/>
      <c r="AU15" s="707"/>
      <c r="AV15" s="707"/>
      <c r="AW15" s="747"/>
    </row>
    <row r="16" spans="3:49" ht="15" hidden="1" outlineLevel="1">
      <c r="C16" s="387" t="s">
        <v>156</v>
      </c>
      <c r="D16" s="388">
        <v>31</v>
      </c>
      <c r="E16" s="384"/>
      <c r="F16" s="687"/>
      <c r="G16" s="687"/>
      <c r="H16" s="687"/>
      <c r="I16" s="687"/>
      <c r="J16" s="384"/>
      <c r="K16" s="390"/>
      <c r="L16" s="390"/>
      <c r="M16" s="390"/>
      <c r="N16" s="390"/>
      <c r="O16" s="390"/>
      <c r="P16" s="384"/>
      <c r="Q16" s="739"/>
      <c r="R16" s="687"/>
      <c r="S16" s="687"/>
      <c r="T16" s="737"/>
      <c r="U16" s="737"/>
      <c r="V16" s="384"/>
      <c r="W16" s="739"/>
      <c r="X16" s="687"/>
      <c r="Y16" s="687"/>
      <c r="Z16" s="737"/>
      <c r="AA16" s="737"/>
      <c r="AB16" s="384"/>
      <c r="AC16" s="739"/>
      <c r="AD16" s="687"/>
      <c r="AE16" s="687"/>
      <c r="AF16" s="737"/>
      <c r="AG16" s="737"/>
      <c r="AH16" s="384"/>
      <c r="AI16" s="739"/>
      <c r="AJ16" s="687"/>
      <c r="AK16" s="687"/>
      <c r="AL16" s="737"/>
      <c r="AM16" s="737"/>
      <c r="AO16" s="673"/>
      <c r="AP16" s="690"/>
      <c r="AQ16" s="690"/>
      <c r="AR16" s="751"/>
      <c r="AT16" s="698"/>
      <c r="AU16" s="745"/>
      <c r="AV16" s="745"/>
      <c r="AW16" s="748"/>
    </row>
    <row r="17" spans="3:49" ht="15" hidden="1" outlineLevel="1">
      <c r="C17" s="387" t="s">
        <v>157</v>
      </c>
      <c r="D17" s="388">
        <v>30</v>
      </c>
      <c r="E17" s="384"/>
      <c r="F17" s="687"/>
      <c r="G17" s="687"/>
      <c r="H17" s="687"/>
      <c r="I17" s="687"/>
      <c r="J17" s="384"/>
      <c r="K17" s="390"/>
      <c r="L17" s="390"/>
      <c r="M17" s="390"/>
      <c r="N17" s="390"/>
      <c r="O17" s="390"/>
      <c r="P17" s="384"/>
      <c r="Q17" s="739"/>
      <c r="R17" s="687"/>
      <c r="S17" s="687"/>
      <c r="T17" s="737"/>
      <c r="U17" s="737"/>
      <c r="V17" s="384"/>
      <c r="W17" s="739"/>
      <c r="X17" s="687"/>
      <c r="Y17" s="687"/>
      <c r="Z17" s="737"/>
      <c r="AA17" s="737"/>
      <c r="AB17" s="384"/>
      <c r="AC17" s="739"/>
      <c r="AD17" s="687"/>
      <c r="AE17" s="687"/>
      <c r="AF17" s="737"/>
      <c r="AG17" s="737"/>
      <c r="AH17" s="384"/>
      <c r="AI17" s="739"/>
      <c r="AJ17" s="687"/>
      <c r="AK17" s="687"/>
      <c r="AL17" s="737"/>
      <c r="AM17" s="737"/>
      <c r="AO17" s="686">
        <v>100</v>
      </c>
      <c r="AP17" s="688">
        <v>43.2</v>
      </c>
      <c r="AQ17" s="688">
        <v>42.02</v>
      </c>
      <c r="AR17" s="736">
        <f>1.15*AO17*(AP17+AQ17)</f>
        <v>9800.3</v>
      </c>
      <c r="AT17" s="704">
        <v>0</v>
      </c>
      <c r="AU17" s="706">
        <v>0</v>
      </c>
      <c r="AV17" s="706">
        <v>42.02</v>
      </c>
      <c r="AW17" s="742">
        <f>1.15*AV17*86.74</f>
        <v>4191.53702</v>
      </c>
    </row>
    <row r="18" spans="3:49" ht="15" hidden="1" outlineLevel="1">
      <c r="C18" s="387" t="s">
        <v>158</v>
      </c>
      <c r="D18" s="388">
        <v>31</v>
      </c>
      <c r="E18" s="384"/>
      <c r="F18" s="727"/>
      <c r="G18" s="727"/>
      <c r="H18" s="727"/>
      <c r="I18" s="727"/>
      <c r="J18" s="384"/>
      <c r="K18" s="390"/>
      <c r="L18" s="390"/>
      <c r="M18" s="390"/>
      <c r="N18" s="390"/>
      <c r="O18" s="390"/>
      <c r="P18" s="384"/>
      <c r="Q18" s="740"/>
      <c r="R18" s="687"/>
      <c r="S18" s="687"/>
      <c r="T18" s="737"/>
      <c r="U18" s="737"/>
      <c r="V18" s="384"/>
      <c r="W18" s="740"/>
      <c r="X18" s="687"/>
      <c r="Y18" s="687"/>
      <c r="Z18" s="737"/>
      <c r="AA18" s="737"/>
      <c r="AB18" s="384"/>
      <c r="AC18" s="740"/>
      <c r="AD18" s="687"/>
      <c r="AE18" s="687"/>
      <c r="AF18" s="737"/>
      <c r="AG18" s="737"/>
      <c r="AH18" s="384"/>
      <c r="AI18" s="740"/>
      <c r="AJ18" s="687"/>
      <c r="AK18" s="687"/>
      <c r="AL18" s="737"/>
      <c r="AM18" s="737"/>
      <c r="AO18" s="687"/>
      <c r="AP18" s="711"/>
      <c r="AQ18" s="711"/>
      <c r="AR18" s="741"/>
      <c r="AT18" s="705"/>
      <c r="AU18" s="712"/>
      <c r="AV18" s="712"/>
      <c r="AW18" s="743"/>
    </row>
    <row r="19" spans="2:49" ht="15.75" hidden="1" outlineLevel="1">
      <c r="B19" s="395"/>
      <c r="C19" s="396"/>
      <c r="E19" s="397"/>
      <c r="F19" s="398">
        <f>SUM(F7:F18)</f>
        <v>0</v>
      </c>
      <c r="G19" s="398"/>
      <c r="H19" s="398">
        <f>SUM(H7:H18)</f>
        <v>0</v>
      </c>
      <c r="I19" s="398"/>
      <c r="J19" s="397"/>
      <c r="K19" s="398">
        <f>SUM(K7:K18)</f>
        <v>0</v>
      </c>
      <c r="L19" s="398"/>
      <c r="M19" s="398"/>
      <c r="N19" s="398">
        <f>SUM(N7:N18)</f>
        <v>0</v>
      </c>
      <c r="O19" s="399"/>
      <c r="P19" s="397"/>
      <c r="Q19" s="452">
        <f>SUM(Q7:Q18)</f>
        <v>1874</v>
      </c>
      <c r="R19" s="452">
        <f>SUM(R7:R18)</f>
        <v>0</v>
      </c>
      <c r="S19" s="453"/>
      <c r="T19" s="454"/>
      <c r="U19" s="452">
        <f>SUM(U7:U18)</f>
        <v>10685.268000000002</v>
      </c>
      <c r="V19" s="397"/>
      <c r="W19" s="452">
        <f>SUM(W7:W18)</f>
        <v>13833.5</v>
      </c>
      <c r="X19" s="452">
        <f>SUM(X7:X18)</f>
        <v>0</v>
      </c>
      <c r="Y19" s="453"/>
      <c r="Z19" s="402"/>
      <c r="AA19" s="452">
        <f>SUM(AA7:AA18)</f>
        <v>72712.1549</v>
      </c>
      <c r="AB19" s="397"/>
      <c r="AC19" s="452">
        <f>SUM(AC7:AC18)</f>
        <v>8890</v>
      </c>
      <c r="AD19" s="452">
        <f>SUM(AD7:AD18)</f>
        <v>0</v>
      </c>
      <c r="AE19" s="453"/>
      <c r="AF19" s="454"/>
      <c r="AG19" s="452">
        <f>SUM(AG7:AG18)</f>
        <v>47418.99249999999</v>
      </c>
      <c r="AH19" s="397"/>
      <c r="AI19" s="452">
        <f>SUM(AI7:AI18)</f>
        <v>3091</v>
      </c>
      <c r="AJ19" s="452">
        <f>SUM(AJ7:AJ18)</f>
        <v>0</v>
      </c>
      <c r="AK19" s="453"/>
      <c r="AL19" s="454"/>
      <c r="AM19" s="452">
        <f>SUM(AM7:AM18)</f>
        <v>15852.8029</v>
      </c>
      <c r="AO19" s="452">
        <f>SUM(AO7:AO18)</f>
        <v>100</v>
      </c>
      <c r="AP19" s="404"/>
      <c r="AQ19" s="404"/>
      <c r="AR19" s="452">
        <f>SUM(AR7:AR18)</f>
        <v>9800.3</v>
      </c>
      <c r="AT19" s="455">
        <f>SUM(AT7:AT18)</f>
        <v>0</v>
      </c>
      <c r="AU19" s="406"/>
      <c r="AV19" s="406"/>
      <c r="AW19" s="455">
        <f>SUM(AW7:AW18)</f>
        <v>4191.53702</v>
      </c>
    </row>
    <row r="20" spans="5:49" ht="20.1" customHeight="1" hidden="1" outlineLevel="1">
      <c r="E20" s="408"/>
      <c r="F20" s="363"/>
      <c r="G20" s="409"/>
      <c r="H20" s="409"/>
      <c r="I20" s="409"/>
      <c r="J20" s="408"/>
      <c r="M20" s="410"/>
      <c r="N20" s="410"/>
      <c r="O20" s="410"/>
      <c r="P20" s="408"/>
      <c r="Q20" s="453"/>
      <c r="R20" s="453"/>
      <c r="S20" s="453"/>
      <c r="T20" s="454"/>
      <c r="U20" s="456"/>
      <c r="V20" s="408"/>
      <c r="W20" s="453"/>
      <c r="X20" s="453"/>
      <c r="Y20" s="453"/>
      <c r="Z20" s="402"/>
      <c r="AA20" s="456"/>
      <c r="AB20" s="408"/>
      <c r="AC20" s="453"/>
      <c r="AD20" s="453"/>
      <c r="AE20" s="453"/>
      <c r="AF20" s="454"/>
      <c r="AG20" s="456"/>
      <c r="AH20" s="408"/>
      <c r="AI20" s="453"/>
      <c r="AJ20" s="453"/>
      <c r="AK20" s="453"/>
      <c r="AL20" s="454"/>
      <c r="AM20" s="456"/>
      <c r="AO20" s="409"/>
      <c r="AP20" s="413"/>
      <c r="AQ20" s="413"/>
      <c r="AR20" s="457"/>
      <c r="AT20" s="415"/>
      <c r="AU20" s="416"/>
      <c r="AV20" s="416"/>
      <c r="AW20" s="458"/>
    </row>
    <row r="21" spans="2:49" ht="15.75" collapsed="1">
      <c r="B21" s="386">
        <f>B7+1</f>
        <v>2017</v>
      </c>
      <c r="C21" s="387" t="s">
        <v>147</v>
      </c>
      <c r="D21" s="388">
        <v>31</v>
      </c>
      <c r="E21" s="389"/>
      <c r="F21" s="671">
        <v>892.21</v>
      </c>
      <c r="G21" s="734">
        <f>F21*341.31</f>
        <v>304520.1951</v>
      </c>
      <c r="H21" s="734">
        <f>G21*1.15</f>
        <v>350198.224365</v>
      </c>
      <c r="I21" s="677">
        <f>H21/F21</f>
        <v>392.50649999999996</v>
      </c>
      <c r="J21" s="389"/>
      <c r="K21" s="390"/>
      <c r="L21" s="390"/>
      <c r="M21" s="390"/>
      <c r="N21" s="390"/>
      <c r="O21" s="390"/>
      <c r="P21" s="389"/>
      <c r="Q21" s="738">
        <v>998</v>
      </c>
      <c r="R21" s="686">
        <v>0</v>
      </c>
      <c r="S21" s="686">
        <f>Q21+R21</f>
        <v>998</v>
      </c>
      <c r="T21" s="736">
        <f>1411.17+175.5+2034.66+494.01+347.1+93.75+19.11+28.24</f>
        <v>4603.54</v>
      </c>
      <c r="U21" s="736">
        <f>T21*1.21</f>
        <v>5570.283399999999</v>
      </c>
      <c r="V21" s="389"/>
      <c r="W21" s="738">
        <v>7366.5</v>
      </c>
      <c r="X21" s="686">
        <v>0</v>
      </c>
      <c r="Y21" s="686">
        <f>W21+X21</f>
        <v>7366.5</v>
      </c>
      <c r="Z21" s="736">
        <f>10416.23+175.5+15018.38+3646.42+1396.2+692.01+19.11+208.47</f>
        <v>31572.32</v>
      </c>
      <c r="AA21" s="736">
        <f>Z21*1.21</f>
        <v>38202.5072</v>
      </c>
      <c r="AB21" s="389"/>
      <c r="AC21" s="738">
        <v>4735</v>
      </c>
      <c r="AD21" s="686">
        <v>0</v>
      </c>
      <c r="AE21" s="686">
        <f>AC21+AD21</f>
        <v>4735</v>
      </c>
      <c r="AF21" s="736">
        <f>6695.29+175.5+9653.43+2343.83+1099.8+444.81+19.11+134</f>
        <v>20565.770000000004</v>
      </c>
      <c r="AG21" s="736">
        <f>AF21*1.21</f>
        <v>24884.581700000002</v>
      </c>
      <c r="AH21" s="389"/>
      <c r="AI21" s="738">
        <v>1647</v>
      </c>
      <c r="AJ21" s="686">
        <v>0</v>
      </c>
      <c r="AK21" s="686">
        <f>AI21+AJ21</f>
        <v>1647</v>
      </c>
      <c r="AL21" s="736">
        <f>2808.35+35.21+1087.52+2476.5+206.39+19.11+62.18</f>
        <v>6695.26</v>
      </c>
      <c r="AM21" s="736">
        <f>AL21*1.21</f>
        <v>8101.2646</v>
      </c>
      <c r="AO21" s="671">
        <v>578</v>
      </c>
      <c r="AP21" s="716">
        <v>43.46</v>
      </c>
      <c r="AQ21" s="716">
        <v>42.02</v>
      </c>
      <c r="AR21" s="749">
        <f>1.15*AO21*(AP21+AQ21)</f>
        <v>56818.556</v>
      </c>
      <c r="AT21" s="696">
        <v>0</v>
      </c>
      <c r="AU21" s="744">
        <v>0</v>
      </c>
      <c r="AV21" s="744">
        <v>42.02</v>
      </c>
      <c r="AW21" s="746">
        <f>1.15*AV21*503.816</f>
        <v>24345.900567999997</v>
      </c>
    </row>
    <row r="22" spans="3:49" ht="15">
      <c r="C22" s="387" t="s">
        <v>148</v>
      </c>
      <c r="D22" s="388">
        <v>28</v>
      </c>
      <c r="E22" s="384"/>
      <c r="F22" s="672"/>
      <c r="G22" s="687"/>
      <c r="H22" s="687"/>
      <c r="I22" s="678"/>
      <c r="J22" s="384"/>
      <c r="K22" s="390"/>
      <c r="L22" s="390"/>
      <c r="M22" s="390"/>
      <c r="N22" s="390"/>
      <c r="O22" s="390"/>
      <c r="P22" s="384"/>
      <c r="Q22" s="739"/>
      <c r="R22" s="687"/>
      <c r="S22" s="687"/>
      <c r="T22" s="737"/>
      <c r="U22" s="737"/>
      <c r="V22" s="384"/>
      <c r="W22" s="739"/>
      <c r="X22" s="687"/>
      <c r="Y22" s="687"/>
      <c r="Z22" s="737"/>
      <c r="AA22" s="737"/>
      <c r="AB22" s="384"/>
      <c r="AC22" s="739"/>
      <c r="AD22" s="687"/>
      <c r="AE22" s="687"/>
      <c r="AF22" s="737"/>
      <c r="AG22" s="737"/>
      <c r="AH22" s="384"/>
      <c r="AI22" s="739"/>
      <c r="AJ22" s="687"/>
      <c r="AK22" s="687"/>
      <c r="AL22" s="737"/>
      <c r="AM22" s="737"/>
      <c r="AO22" s="672"/>
      <c r="AP22" s="689"/>
      <c r="AQ22" s="689"/>
      <c r="AR22" s="750"/>
      <c r="AT22" s="697"/>
      <c r="AU22" s="707"/>
      <c r="AV22" s="707"/>
      <c r="AW22" s="747"/>
    </row>
    <row r="23" spans="3:49" ht="15">
      <c r="C23" s="387" t="s">
        <v>149</v>
      </c>
      <c r="D23" s="388">
        <v>31</v>
      </c>
      <c r="E23" s="384"/>
      <c r="F23" s="672"/>
      <c r="G23" s="687"/>
      <c r="H23" s="687"/>
      <c r="I23" s="678"/>
      <c r="J23" s="384"/>
      <c r="K23" s="390"/>
      <c r="L23" s="390"/>
      <c r="M23" s="390"/>
      <c r="N23" s="390"/>
      <c r="O23" s="390"/>
      <c r="P23" s="384"/>
      <c r="Q23" s="739"/>
      <c r="R23" s="687"/>
      <c r="S23" s="687"/>
      <c r="T23" s="737"/>
      <c r="U23" s="737"/>
      <c r="V23" s="384"/>
      <c r="W23" s="739"/>
      <c r="X23" s="687"/>
      <c r="Y23" s="687"/>
      <c r="Z23" s="737"/>
      <c r="AA23" s="737"/>
      <c r="AB23" s="384"/>
      <c r="AC23" s="739"/>
      <c r="AD23" s="687"/>
      <c r="AE23" s="687"/>
      <c r="AF23" s="737"/>
      <c r="AG23" s="737"/>
      <c r="AH23" s="384"/>
      <c r="AI23" s="739"/>
      <c r="AJ23" s="687"/>
      <c r="AK23" s="687"/>
      <c r="AL23" s="737"/>
      <c r="AM23" s="737"/>
      <c r="AO23" s="672"/>
      <c r="AP23" s="689"/>
      <c r="AQ23" s="689"/>
      <c r="AR23" s="750"/>
      <c r="AT23" s="697"/>
      <c r="AU23" s="707"/>
      <c r="AV23" s="707"/>
      <c r="AW23" s="747"/>
    </row>
    <row r="24" spans="3:49" ht="15">
      <c r="C24" s="387" t="s">
        <v>150</v>
      </c>
      <c r="D24" s="388">
        <v>30</v>
      </c>
      <c r="E24" s="384"/>
      <c r="F24" s="672"/>
      <c r="G24" s="687"/>
      <c r="H24" s="687"/>
      <c r="I24" s="678"/>
      <c r="J24" s="384"/>
      <c r="K24" s="390"/>
      <c r="L24" s="390"/>
      <c r="M24" s="390"/>
      <c r="N24" s="390"/>
      <c r="O24" s="390"/>
      <c r="P24" s="384"/>
      <c r="Q24" s="740"/>
      <c r="R24" s="727"/>
      <c r="S24" s="727"/>
      <c r="T24" s="741"/>
      <c r="U24" s="741"/>
      <c r="V24" s="384"/>
      <c r="W24" s="740"/>
      <c r="X24" s="727"/>
      <c r="Y24" s="727"/>
      <c r="Z24" s="741"/>
      <c r="AA24" s="741"/>
      <c r="AB24" s="384"/>
      <c r="AC24" s="740"/>
      <c r="AD24" s="727"/>
      <c r="AE24" s="727"/>
      <c r="AF24" s="741"/>
      <c r="AG24" s="741"/>
      <c r="AH24" s="384"/>
      <c r="AI24" s="740"/>
      <c r="AJ24" s="727"/>
      <c r="AK24" s="727"/>
      <c r="AL24" s="741"/>
      <c r="AM24" s="741"/>
      <c r="AO24" s="672"/>
      <c r="AP24" s="689"/>
      <c r="AQ24" s="689"/>
      <c r="AR24" s="750"/>
      <c r="AT24" s="697"/>
      <c r="AU24" s="707"/>
      <c r="AV24" s="707"/>
      <c r="AW24" s="747"/>
    </row>
    <row r="25" spans="3:49" ht="15">
      <c r="C25" s="387" t="s">
        <v>151</v>
      </c>
      <c r="D25" s="388">
        <v>31</v>
      </c>
      <c r="E25" s="384"/>
      <c r="F25" s="672"/>
      <c r="G25" s="687"/>
      <c r="H25" s="687"/>
      <c r="I25" s="678"/>
      <c r="J25" s="384"/>
      <c r="K25" s="390"/>
      <c r="L25" s="390"/>
      <c r="M25" s="390"/>
      <c r="N25" s="390"/>
      <c r="O25" s="390"/>
      <c r="P25" s="384"/>
      <c r="Q25" s="738">
        <v>2409</v>
      </c>
      <c r="R25" s="686">
        <v>0</v>
      </c>
      <c r="S25" s="686">
        <f>Q25+R25</f>
        <v>2409</v>
      </c>
      <c r="T25" s="736">
        <f>3406.33+364.5+4911.32+1192.46+720.9+226.3+39.69+2.409*28.3</f>
        <v>10929.6747</v>
      </c>
      <c r="U25" s="736">
        <f>T25*1.21</f>
        <v>13224.906386999999</v>
      </c>
      <c r="V25" s="384"/>
      <c r="W25" s="738">
        <v>11434.7</v>
      </c>
      <c r="X25" s="686">
        <v>0</v>
      </c>
      <c r="Y25" s="686">
        <f>W25+X25</f>
        <v>11434.7</v>
      </c>
      <c r="Z25" s="736">
        <f>16168.67+364.5+23312.38+5660.18+2899.8+1074.18+39.69+323.6</f>
        <v>49843.00000000001</v>
      </c>
      <c r="AA25" s="736">
        <f>Z25*1.21</f>
        <v>60310.030000000006</v>
      </c>
      <c r="AB25" s="384"/>
      <c r="AC25" s="752"/>
      <c r="AD25" s="686">
        <v>0</v>
      </c>
      <c r="AE25" s="686">
        <f>AC25+AD25</f>
        <v>0</v>
      </c>
      <c r="AF25" s="755"/>
      <c r="AG25" s="736">
        <f>AF25*1.21</f>
        <v>0</v>
      </c>
      <c r="AH25" s="384"/>
      <c r="AI25" s="459"/>
      <c r="AJ25" s="392"/>
      <c r="AK25" s="392"/>
      <c r="AL25" s="460"/>
      <c r="AM25" s="736">
        <f>AL25*1.21</f>
        <v>0</v>
      </c>
      <c r="AO25" s="672"/>
      <c r="AP25" s="689"/>
      <c r="AQ25" s="689"/>
      <c r="AR25" s="750"/>
      <c r="AT25" s="697"/>
      <c r="AU25" s="707"/>
      <c r="AV25" s="707"/>
      <c r="AW25" s="747"/>
    </row>
    <row r="26" spans="3:49" ht="15">
      <c r="C26" s="387" t="s">
        <v>152</v>
      </c>
      <c r="D26" s="388">
        <v>30</v>
      </c>
      <c r="E26" s="384"/>
      <c r="F26" s="673"/>
      <c r="G26" s="735"/>
      <c r="H26" s="735"/>
      <c r="I26" s="679"/>
      <c r="J26" s="384"/>
      <c r="K26" s="390"/>
      <c r="L26" s="390"/>
      <c r="M26" s="390"/>
      <c r="N26" s="390"/>
      <c r="O26" s="390"/>
      <c r="P26" s="384"/>
      <c r="Q26" s="739"/>
      <c r="R26" s="687"/>
      <c r="S26" s="687"/>
      <c r="T26" s="737"/>
      <c r="U26" s="737"/>
      <c r="V26" s="384"/>
      <c r="W26" s="739"/>
      <c r="X26" s="687"/>
      <c r="Y26" s="687"/>
      <c r="Z26" s="737"/>
      <c r="AA26" s="737"/>
      <c r="AB26" s="384"/>
      <c r="AC26" s="753"/>
      <c r="AD26" s="687"/>
      <c r="AE26" s="687"/>
      <c r="AF26" s="756"/>
      <c r="AG26" s="737"/>
      <c r="AH26" s="384"/>
      <c r="AI26" s="459"/>
      <c r="AJ26" s="392"/>
      <c r="AK26" s="392"/>
      <c r="AL26" s="460"/>
      <c r="AM26" s="737"/>
      <c r="AO26" s="672"/>
      <c r="AP26" s="689"/>
      <c r="AQ26" s="689"/>
      <c r="AR26" s="750"/>
      <c r="AT26" s="697"/>
      <c r="AU26" s="707"/>
      <c r="AV26" s="707"/>
      <c r="AW26" s="747"/>
    </row>
    <row r="27" spans="3:49" ht="15">
      <c r="C27" s="387" t="s">
        <v>153</v>
      </c>
      <c r="D27" s="388">
        <v>31</v>
      </c>
      <c r="E27" s="384"/>
      <c r="F27" s="671">
        <v>603.41</v>
      </c>
      <c r="G27" s="734">
        <f>F27*341.31</f>
        <v>205949.8671</v>
      </c>
      <c r="H27" s="734">
        <f>G27*1.15</f>
        <v>236842.34716499998</v>
      </c>
      <c r="I27" s="677">
        <f>H27/F27</f>
        <v>392.5065</v>
      </c>
      <c r="J27" s="384"/>
      <c r="K27" s="390"/>
      <c r="L27" s="390"/>
      <c r="M27" s="390"/>
      <c r="N27" s="390"/>
      <c r="O27" s="390"/>
      <c r="P27" s="384"/>
      <c r="Q27" s="739"/>
      <c r="R27" s="687"/>
      <c r="S27" s="687"/>
      <c r="T27" s="737"/>
      <c r="U27" s="737"/>
      <c r="V27" s="384"/>
      <c r="W27" s="739"/>
      <c r="X27" s="687"/>
      <c r="Y27" s="687"/>
      <c r="Z27" s="737"/>
      <c r="AA27" s="737"/>
      <c r="AB27" s="384"/>
      <c r="AC27" s="753"/>
      <c r="AD27" s="687"/>
      <c r="AE27" s="687"/>
      <c r="AF27" s="756"/>
      <c r="AG27" s="737"/>
      <c r="AH27" s="384"/>
      <c r="AI27" s="459"/>
      <c r="AJ27" s="392"/>
      <c r="AK27" s="392"/>
      <c r="AL27" s="460"/>
      <c r="AM27" s="737"/>
      <c r="AO27" s="672"/>
      <c r="AP27" s="689"/>
      <c r="AQ27" s="689"/>
      <c r="AR27" s="750"/>
      <c r="AT27" s="697"/>
      <c r="AU27" s="707"/>
      <c r="AV27" s="707"/>
      <c r="AW27" s="747"/>
    </row>
    <row r="28" spans="3:49" ht="15">
      <c r="C28" s="387" t="s">
        <v>154</v>
      </c>
      <c r="D28" s="388">
        <v>31</v>
      </c>
      <c r="E28" s="384"/>
      <c r="F28" s="672"/>
      <c r="G28" s="687"/>
      <c r="H28" s="687"/>
      <c r="I28" s="678"/>
      <c r="J28" s="384"/>
      <c r="K28" s="390"/>
      <c r="L28" s="390"/>
      <c r="M28" s="390"/>
      <c r="N28" s="390"/>
      <c r="O28" s="390"/>
      <c r="P28" s="384"/>
      <c r="Q28" s="739"/>
      <c r="R28" s="687"/>
      <c r="S28" s="687"/>
      <c r="T28" s="737"/>
      <c r="U28" s="737"/>
      <c r="V28" s="384"/>
      <c r="W28" s="739"/>
      <c r="X28" s="687"/>
      <c r="Y28" s="687"/>
      <c r="Z28" s="737"/>
      <c r="AA28" s="737"/>
      <c r="AB28" s="384"/>
      <c r="AC28" s="753"/>
      <c r="AD28" s="687"/>
      <c r="AE28" s="687"/>
      <c r="AF28" s="756"/>
      <c r="AG28" s="737"/>
      <c r="AH28" s="384"/>
      <c r="AI28" s="459"/>
      <c r="AJ28" s="392"/>
      <c r="AK28" s="392"/>
      <c r="AL28" s="460"/>
      <c r="AM28" s="737"/>
      <c r="AO28" s="672"/>
      <c r="AP28" s="689"/>
      <c r="AQ28" s="689"/>
      <c r="AR28" s="750"/>
      <c r="AT28" s="697"/>
      <c r="AU28" s="707"/>
      <c r="AV28" s="707"/>
      <c r="AW28" s="747"/>
    </row>
    <row r="29" spans="3:49" ht="15">
      <c r="C29" s="387" t="s">
        <v>155</v>
      </c>
      <c r="D29" s="388">
        <v>30</v>
      </c>
      <c r="E29" s="384"/>
      <c r="F29" s="672"/>
      <c r="G29" s="687"/>
      <c r="H29" s="687"/>
      <c r="I29" s="678"/>
      <c r="J29" s="384"/>
      <c r="K29" s="390"/>
      <c r="L29" s="390"/>
      <c r="M29" s="390"/>
      <c r="N29" s="390"/>
      <c r="O29" s="390"/>
      <c r="P29" s="384"/>
      <c r="Q29" s="739"/>
      <c r="R29" s="687"/>
      <c r="S29" s="687"/>
      <c r="T29" s="737"/>
      <c r="U29" s="737"/>
      <c r="V29" s="384"/>
      <c r="W29" s="739"/>
      <c r="X29" s="687"/>
      <c r="Y29" s="687"/>
      <c r="Z29" s="737"/>
      <c r="AA29" s="737"/>
      <c r="AB29" s="384"/>
      <c r="AC29" s="753"/>
      <c r="AD29" s="687"/>
      <c r="AE29" s="687"/>
      <c r="AF29" s="756"/>
      <c r="AG29" s="737"/>
      <c r="AH29" s="384"/>
      <c r="AI29" s="459"/>
      <c r="AJ29" s="392"/>
      <c r="AK29" s="392"/>
      <c r="AL29" s="460"/>
      <c r="AM29" s="737"/>
      <c r="AO29" s="672"/>
      <c r="AP29" s="689"/>
      <c r="AQ29" s="689"/>
      <c r="AR29" s="750"/>
      <c r="AT29" s="697"/>
      <c r="AU29" s="707"/>
      <c r="AV29" s="707"/>
      <c r="AW29" s="747"/>
    </row>
    <row r="30" spans="3:49" ht="15">
      <c r="C30" s="387" t="s">
        <v>156</v>
      </c>
      <c r="D30" s="388">
        <v>31</v>
      </c>
      <c r="E30" s="384"/>
      <c r="F30" s="672"/>
      <c r="G30" s="687"/>
      <c r="H30" s="687"/>
      <c r="I30" s="678"/>
      <c r="J30" s="384"/>
      <c r="K30" s="390"/>
      <c r="L30" s="390"/>
      <c r="M30" s="390"/>
      <c r="N30" s="390"/>
      <c r="O30" s="390"/>
      <c r="P30" s="384"/>
      <c r="Q30" s="739"/>
      <c r="R30" s="687"/>
      <c r="S30" s="687"/>
      <c r="T30" s="737"/>
      <c r="U30" s="737"/>
      <c r="V30" s="384"/>
      <c r="W30" s="739"/>
      <c r="X30" s="687"/>
      <c r="Y30" s="687"/>
      <c r="Z30" s="737"/>
      <c r="AA30" s="737"/>
      <c r="AB30" s="384"/>
      <c r="AC30" s="753"/>
      <c r="AD30" s="687"/>
      <c r="AE30" s="687"/>
      <c r="AF30" s="756"/>
      <c r="AG30" s="737"/>
      <c r="AH30" s="384"/>
      <c r="AI30" s="459"/>
      <c r="AJ30" s="392"/>
      <c r="AK30" s="392"/>
      <c r="AL30" s="460"/>
      <c r="AM30" s="737"/>
      <c r="AO30" s="673"/>
      <c r="AP30" s="690"/>
      <c r="AQ30" s="690"/>
      <c r="AR30" s="751"/>
      <c r="AT30" s="698"/>
      <c r="AU30" s="745"/>
      <c r="AV30" s="745"/>
      <c r="AW30" s="748"/>
    </row>
    <row r="31" spans="3:49" ht="15">
      <c r="C31" s="387" t="s">
        <v>157</v>
      </c>
      <c r="D31" s="388">
        <v>30</v>
      </c>
      <c r="E31" s="384"/>
      <c r="F31" s="672"/>
      <c r="G31" s="687"/>
      <c r="H31" s="687"/>
      <c r="I31" s="678"/>
      <c r="J31" s="384"/>
      <c r="K31" s="390"/>
      <c r="L31" s="390"/>
      <c r="M31" s="390"/>
      <c r="N31" s="390"/>
      <c r="O31" s="390"/>
      <c r="P31" s="384"/>
      <c r="Q31" s="739"/>
      <c r="R31" s="687"/>
      <c r="S31" s="687"/>
      <c r="T31" s="737"/>
      <c r="U31" s="737"/>
      <c r="V31" s="384"/>
      <c r="W31" s="739"/>
      <c r="X31" s="687"/>
      <c r="Y31" s="687"/>
      <c r="Z31" s="737"/>
      <c r="AA31" s="737"/>
      <c r="AB31" s="384"/>
      <c r="AC31" s="753"/>
      <c r="AD31" s="687"/>
      <c r="AE31" s="687"/>
      <c r="AF31" s="756"/>
      <c r="AG31" s="737"/>
      <c r="AH31" s="384"/>
      <c r="AI31" s="459"/>
      <c r="AJ31" s="392"/>
      <c r="AK31" s="392"/>
      <c r="AL31" s="460"/>
      <c r="AM31" s="737"/>
      <c r="AO31" s="686">
        <v>122</v>
      </c>
      <c r="AP31" s="688">
        <v>43.46</v>
      </c>
      <c r="AQ31" s="688">
        <v>42.02</v>
      </c>
      <c r="AR31" s="736">
        <f>1.15*AO31*(AP31+AQ31)</f>
        <v>11992.844</v>
      </c>
      <c r="AT31" s="704">
        <v>0</v>
      </c>
      <c r="AU31" s="706">
        <v>0</v>
      </c>
      <c r="AV31" s="706">
        <v>42.02</v>
      </c>
      <c r="AW31" s="742">
        <f>1.15*AV31*95.184</f>
        <v>4599.576432</v>
      </c>
    </row>
    <row r="32" spans="3:49" ht="15">
      <c r="C32" s="387" t="s">
        <v>158</v>
      </c>
      <c r="D32" s="388">
        <v>31</v>
      </c>
      <c r="E32" s="384"/>
      <c r="F32" s="673"/>
      <c r="G32" s="735"/>
      <c r="H32" s="735"/>
      <c r="I32" s="679"/>
      <c r="J32" s="384"/>
      <c r="K32" s="390"/>
      <c r="L32" s="390"/>
      <c r="M32" s="390"/>
      <c r="N32" s="390"/>
      <c r="O32" s="390"/>
      <c r="P32" s="384"/>
      <c r="Q32" s="740"/>
      <c r="R32" s="687"/>
      <c r="S32" s="687"/>
      <c r="T32" s="737"/>
      <c r="U32" s="737"/>
      <c r="V32" s="384"/>
      <c r="W32" s="740"/>
      <c r="X32" s="687"/>
      <c r="Y32" s="687"/>
      <c r="Z32" s="737"/>
      <c r="AA32" s="737"/>
      <c r="AB32" s="384"/>
      <c r="AC32" s="754"/>
      <c r="AD32" s="687"/>
      <c r="AE32" s="687"/>
      <c r="AF32" s="756"/>
      <c r="AG32" s="737"/>
      <c r="AH32" s="384"/>
      <c r="AI32" s="459"/>
      <c r="AJ32" s="392"/>
      <c r="AK32" s="392"/>
      <c r="AL32" s="460"/>
      <c r="AM32" s="737"/>
      <c r="AO32" s="687"/>
      <c r="AP32" s="711"/>
      <c r="AQ32" s="711"/>
      <c r="AR32" s="741"/>
      <c r="AT32" s="705"/>
      <c r="AU32" s="712"/>
      <c r="AV32" s="712"/>
      <c r="AW32" s="743"/>
    </row>
    <row r="33" spans="2:49" ht="15.75">
      <c r="B33" s="395"/>
      <c r="C33" s="396"/>
      <c r="E33" s="397"/>
      <c r="F33" s="398">
        <f>SUM(F21:F32)</f>
        <v>1495.62</v>
      </c>
      <c r="G33" s="398"/>
      <c r="H33" s="398">
        <f>SUM(H21:H32)</f>
        <v>587040.57153</v>
      </c>
      <c r="I33" s="398"/>
      <c r="J33" s="397"/>
      <c r="K33" s="398">
        <f>SUM(K21:K32)</f>
        <v>0</v>
      </c>
      <c r="L33" s="398"/>
      <c r="M33" s="398"/>
      <c r="N33" s="398">
        <f>SUM(N21:N32)</f>
        <v>0</v>
      </c>
      <c r="O33" s="402"/>
      <c r="P33" s="397"/>
      <c r="Q33" s="452">
        <f>SUM(Q21:Q32)</f>
        <v>3407</v>
      </c>
      <c r="R33" s="452">
        <f>SUM(R21:R32)</f>
        <v>0</v>
      </c>
      <c r="S33" s="452">
        <f>SUM(S21:S32)</f>
        <v>3407</v>
      </c>
      <c r="T33" s="454"/>
      <c r="U33" s="452">
        <f>SUM(U21:U32)</f>
        <v>18795.189787</v>
      </c>
      <c r="V33" s="397"/>
      <c r="W33" s="452">
        <f>SUM(W21:W32)</f>
        <v>18801.2</v>
      </c>
      <c r="X33" s="452">
        <f>SUM(X21:X32)</f>
        <v>0</v>
      </c>
      <c r="Y33" s="452">
        <f>SUM(Y21:Y32)</f>
        <v>18801.2</v>
      </c>
      <c r="Z33" s="402"/>
      <c r="AA33" s="452">
        <f>SUM(AA21:AA32)</f>
        <v>98512.5372</v>
      </c>
      <c r="AB33" s="397"/>
      <c r="AC33" s="452">
        <f>SUM(AC21:AC32)</f>
        <v>4735</v>
      </c>
      <c r="AD33" s="452">
        <f>SUM(AD21:AD32)</f>
        <v>0</v>
      </c>
      <c r="AE33" s="452">
        <f>SUM(AE21:AE32)</f>
        <v>4735</v>
      </c>
      <c r="AF33" s="454"/>
      <c r="AG33" s="452">
        <f>SUM(AG21:AG32)</f>
        <v>24884.581700000002</v>
      </c>
      <c r="AH33" s="397"/>
      <c r="AI33" s="452">
        <f>SUM(AI21:AI32)</f>
        <v>1647</v>
      </c>
      <c r="AJ33" s="452">
        <f>SUM(AJ21:AJ32)</f>
        <v>0</v>
      </c>
      <c r="AK33" s="453"/>
      <c r="AL33" s="454"/>
      <c r="AM33" s="452">
        <f>SUM(AM21:AM32)</f>
        <v>8101.2646</v>
      </c>
      <c r="AO33" s="452">
        <f>SUM(AO21:AO32)</f>
        <v>700</v>
      </c>
      <c r="AP33" s="404"/>
      <c r="AQ33" s="404"/>
      <c r="AR33" s="452">
        <f>SUM(AR21:AR32)</f>
        <v>68811.4</v>
      </c>
      <c r="AT33" s="455">
        <f>SUM(AT21:AT32)</f>
        <v>0</v>
      </c>
      <c r="AU33" s="406"/>
      <c r="AV33" s="406"/>
      <c r="AW33" s="455">
        <f>SUM(AW21:AW32)</f>
        <v>28945.477</v>
      </c>
    </row>
    <row r="34" spans="2:49" ht="15.75" customHeight="1" outlineLevel="1">
      <c r="B34" s="395"/>
      <c r="C34" s="396"/>
      <c r="E34" s="397"/>
      <c r="F34" s="403"/>
      <c r="G34" s="427"/>
      <c r="H34" s="427"/>
      <c r="I34" s="427"/>
      <c r="J34" s="397"/>
      <c r="K34" s="403"/>
      <c r="L34" s="397"/>
      <c r="M34" s="402"/>
      <c r="N34" s="402"/>
      <c r="O34" s="402"/>
      <c r="P34" s="397"/>
      <c r="Q34" s="453"/>
      <c r="R34" s="453"/>
      <c r="S34" s="453"/>
      <c r="T34" s="454"/>
      <c r="U34" s="454"/>
      <c r="V34" s="397"/>
      <c r="W34" s="453"/>
      <c r="X34" s="453"/>
      <c r="Y34" s="453"/>
      <c r="Z34" s="402"/>
      <c r="AA34" s="454"/>
      <c r="AB34" s="397"/>
      <c r="AC34" s="453"/>
      <c r="AD34" s="453"/>
      <c r="AE34" s="453"/>
      <c r="AF34" s="454"/>
      <c r="AG34" s="454"/>
      <c r="AH34" s="397"/>
      <c r="AI34" s="453"/>
      <c r="AJ34" s="453"/>
      <c r="AK34" s="453"/>
      <c r="AL34" s="454"/>
      <c r="AM34" s="454"/>
      <c r="AO34" s="409"/>
      <c r="AP34" s="413"/>
      <c r="AQ34" s="413"/>
      <c r="AR34" s="457"/>
      <c r="AT34" s="415"/>
      <c r="AU34" s="416"/>
      <c r="AV34" s="416"/>
      <c r="AW34" s="458"/>
    </row>
    <row r="35" spans="2:49" ht="15.75" customHeight="1" outlineLevel="1">
      <c r="B35" s="386">
        <f>B21+1</f>
        <v>2018</v>
      </c>
      <c r="C35" s="387" t="s">
        <v>147</v>
      </c>
      <c r="D35" s="388">
        <v>31</v>
      </c>
      <c r="E35" s="389"/>
      <c r="F35" s="671">
        <v>739.63</v>
      </c>
      <c r="G35" s="734">
        <f>F35*368.49</f>
        <v>272546.2587</v>
      </c>
      <c r="H35" s="734">
        <f>G35*1.15</f>
        <v>313428.197505</v>
      </c>
      <c r="I35" s="677">
        <f>H35/F35</f>
        <v>423.76349999999996</v>
      </c>
      <c r="J35" s="389"/>
      <c r="K35" s="390"/>
      <c r="L35" s="430"/>
      <c r="M35" s="431"/>
      <c r="N35" s="390"/>
      <c r="O35" s="431"/>
      <c r="P35" s="389"/>
      <c r="Q35" s="738">
        <f>1271</f>
        <v>1271</v>
      </c>
      <c r="R35" s="686">
        <v>0</v>
      </c>
      <c r="S35" s="686">
        <f>Q35+R35</f>
        <v>1271</v>
      </c>
      <c r="T35" s="736">
        <f>1797.19+174+2720.45+629.15+363.5+119+20.88+1.271*28.3</f>
        <v>5860.139299999999</v>
      </c>
      <c r="U35" s="736">
        <f>T35*1.21</f>
        <v>7090.768552999998</v>
      </c>
      <c r="V35" s="389"/>
      <c r="W35" s="738">
        <v>6028.3</v>
      </c>
      <c r="X35" s="686">
        <v>0</v>
      </c>
      <c r="Y35" s="686">
        <f>W35+X35</f>
        <v>6028.3</v>
      </c>
      <c r="Z35" s="736">
        <f>8524.02+174+12902.97+2984.01+1446.26+564.43+20.88+170.6</f>
        <v>26787.17</v>
      </c>
      <c r="AA35" s="736">
        <f>Z35*1.21</f>
        <v>32412.475699999995</v>
      </c>
      <c r="AB35" s="389"/>
      <c r="AC35" s="752"/>
      <c r="AD35" s="686">
        <v>0</v>
      </c>
      <c r="AE35" s="686">
        <f>AC35+AD35</f>
        <v>0</v>
      </c>
      <c r="AF35" s="755"/>
      <c r="AG35" s="736">
        <f>AF35*1.21</f>
        <v>0</v>
      </c>
      <c r="AH35" s="389"/>
      <c r="AI35" s="459"/>
      <c r="AJ35" s="392"/>
      <c r="AK35" s="392"/>
      <c r="AL35" s="460"/>
      <c r="AM35" s="736">
        <f>AL35*1.21</f>
        <v>0</v>
      </c>
      <c r="AO35" s="671">
        <v>658</v>
      </c>
      <c r="AP35" s="716">
        <v>43.46</v>
      </c>
      <c r="AQ35" s="716">
        <v>42.34</v>
      </c>
      <c r="AR35" s="749">
        <f>1.15*AO35*(AP35+AQ35)</f>
        <v>64924.86</v>
      </c>
      <c r="AT35" s="696">
        <v>0</v>
      </c>
      <c r="AU35" s="744">
        <v>0</v>
      </c>
      <c r="AV35" s="744">
        <v>42.34</v>
      </c>
      <c r="AW35" s="746">
        <f>1.15*AV35*512.022</f>
        <v>24930.863202000004</v>
      </c>
    </row>
    <row r="36" spans="3:49" ht="15" customHeight="1" outlineLevel="1">
      <c r="C36" s="387" t="s">
        <v>148</v>
      </c>
      <c r="D36" s="388">
        <v>28</v>
      </c>
      <c r="E36" s="384"/>
      <c r="F36" s="672"/>
      <c r="G36" s="687"/>
      <c r="H36" s="687"/>
      <c r="I36" s="678"/>
      <c r="J36" s="384"/>
      <c r="K36" s="390"/>
      <c r="L36" s="430"/>
      <c r="M36" s="431"/>
      <c r="N36" s="390"/>
      <c r="O36" s="431"/>
      <c r="P36" s="384"/>
      <c r="Q36" s="739"/>
      <c r="R36" s="687"/>
      <c r="S36" s="687"/>
      <c r="T36" s="737"/>
      <c r="U36" s="737"/>
      <c r="V36" s="384"/>
      <c r="W36" s="739"/>
      <c r="X36" s="687"/>
      <c r="Y36" s="687"/>
      <c r="Z36" s="737"/>
      <c r="AA36" s="737"/>
      <c r="AB36" s="384"/>
      <c r="AC36" s="753"/>
      <c r="AD36" s="687"/>
      <c r="AE36" s="687"/>
      <c r="AF36" s="756"/>
      <c r="AG36" s="737"/>
      <c r="AH36" s="384"/>
      <c r="AI36" s="459"/>
      <c r="AJ36" s="392"/>
      <c r="AK36" s="392"/>
      <c r="AL36" s="460"/>
      <c r="AM36" s="737"/>
      <c r="AO36" s="672"/>
      <c r="AP36" s="689"/>
      <c r="AQ36" s="689"/>
      <c r="AR36" s="750"/>
      <c r="AT36" s="697"/>
      <c r="AU36" s="707"/>
      <c r="AV36" s="707"/>
      <c r="AW36" s="747"/>
    </row>
    <row r="37" spans="3:49" ht="15" customHeight="1" outlineLevel="1">
      <c r="C37" s="387" t="s">
        <v>149</v>
      </c>
      <c r="D37" s="388">
        <v>31</v>
      </c>
      <c r="E37" s="384"/>
      <c r="F37" s="672"/>
      <c r="G37" s="687"/>
      <c r="H37" s="687"/>
      <c r="I37" s="678"/>
      <c r="J37" s="384"/>
      <c r="K37" s="390"/>
      <c r="L37" s="430"/>
      <c r="M37" s="431"/>
      <c r="N37" s="390"/>
      <c r="O37" s="431"/>
      <c r="P37" s="384"/>
      <c r="Q37" s="739"/>
      <c r="R37" s="687"/>
      <c r="S37" s="687"/>
      <c r="T37" s="737"/>
      <c r="U37" s="737"/>
      <c r="V37" s="384"/>
      <c r="W37" s="739"/>
      <c r="X37" s="687"/>
      <c r="Y37" s="687"/>
      <c r="Z37" s="737"/>
      <c r="AA37" s="737"/>
      <c r="AB37" s="384"/>
      <c r="AC37" s="753"/>
      <c r="AD37" s="687"/>
      <c r="AE37" s="687"/>
      <c r="AF37" s="756"/>
      <c r="AG37" s="737"/>
      <c r="AH37" s="384"/>
      <c r="AI37" s="459"/>
      <c r="AJ37" s="392"/>
      <c r="AK37" s="392"/>
      <c r="AL37" s="460"/>
      <c r="AM37" s="737"/>
      <c r="AO37" s="672"/>
      <c r="AP37" s="689"/>
      <c r="AQ37" s="689"/>
      <c r="AR37" s="750"/>
      <c r="AT37" s="697"/>
      <c r="AU37" s="707"/>
      <c r="AV37" s="707"/>
      <c r="AW37" s="747"/>
    </row>
    <row r="38" spans="3:49" ht="15" customHeight="1" outlineLevel="1">
      <c r="C38" s="387" t="s">
        <v>150</v>
      </c>
      <c r="D38" s="388">
        <v>30</v>
      </c>
      <c r="E38" s="384"/>
      <c r="F38" s="672"/>
      <c r="G38" s="687"/>
      <c r="H38" s="687"/>
      <c r="I38" s="678"/>
      <c r="J38" s="384"/>
      <c r="K38" s="390"/>
      <c r="L38" s="432"/>
      <c r="M38" s="433"/>
      <c r="N38" s="390"/>
      <c r="O38" s="433"/>
      <c r="P38" s="384"/>
      <c r="Q38" s="740"/>
      <c r="R38" s="727"/>
      <c r="S38" s="727"/>
      <c r="T38" s="741"/>
      <c r="U38" s="741"/>
      <c r="V38" s="384"/>
      <c r="W38" s="740"/>
      <c r="X38" s="727"/>
      <c r="Y38" s="727"/>
      <c r="Z38" s="741"/>
      <c r="AA38" s="741"/>
      <c r="AB38" s="384"/>
      <c r="AC38" s="754"/>
      <c r="AD38" s="727"/>
      <c r="AE38" s="727"/>
      <c r="AF38" s="757"/>
      <c r="AG38" s="741"/>
      <c r="AH38" s="384"/>
      <c r="AI38" s="459"/>
      <c r="AJ38" s="392"/>
      <c r="AK38" s="392"/>
      <c r="AL38" s="460"/>
      <c r="AM38" s="741"/>
      <c r="AO38" s="672"/>
      <c r="AP38" s="689"/>
      <c r="AQ38" s="689"/>
      <c r="AR38" s="750"/>
      <c r="AT38" s="697"/>
      <c r="AU38" s="707"/>
      <c r="AV38" s="707"/>
      <c r="AW38" s="747"/>
    </row>
    <row r="39" spans="3:49" ht="15" customHeight="1" outlineLevel="1">
      <c r="C39" s="387" t="s">
        <v>151</v>
      </c>
      <c r="D39" s="388">
        <v>31</v>
      </c>
      <c r="E39" s="384"/>
      <c r="F39" s="672"/>
      <c r="G39" s="687"/>
      <c r="H39" s="687"/>
      <c r="I39" s="678"/>
      <c r="J39" s="384"/>
      <c r="K39" s="390"/>
      <c r="L39" s="430"/>
      <c r="M39" s="433"/>
      <c r="N39" s="390"/>
      <c r="O39" s="433"/>
      <c r="P39" s="384"/>
      <c r="Q39" s="738">
        <f>72+449+1872</f>
        <v>2393</v>
      </c>
      <c r="R39" s="686">
        <v>0</v>
      </c>
      <c r="S39" s="686">
        <f>Q39+R39</f>
        <v>2393</v>
      </c>
      <c r="T39" s="736">
        <f>101.81+634.89+2647.01+10.35+60.15+295.5+5121.98+1184.54+764.5+224.06+43.92+2.04+12.71+52.98</f>
        <v>11156.439999999999</v>
      </c>
      <c r="U39" s="736">
        <f>T39*1.21</f>
        <v>13499.292399999998</v>
      </c>
      <c r="V39" s="384"/>
      <c r="W39" s="738">
        <v>12279.3</v>
      </c>
      <c r="X39" s="686">
        <v>0</v>
      </c>
      <c r="Y39" s="686">
        <f>W39+X39</f>
        <v>12279.3</v>
      </c>
      <c r="Z39" s="736">
        <f>17362.93+366+26282.61+6078.25+3041.74+1149.71+43.92+347.5</f>
        <v>54672.659999999996</v>
      </c>
      <c r="AA39" s="736">
        <f>Z39*1.21</f>
        <v>66153.91859999999</v>
      </c>
      <c r="AB39" s="384"/>
      <c r="AC39" s="738">
        <v>8457</v>
      </c>
      <c r="AD39" s="686">
        <v>0</v>
      </c>
      <c r="AE39" s="686">
        <f>AC39+AD39</f>
        <v>8457</v>
      </c>
      <c r="AF39" s="736">
        <f>11958.2+366+18101.36+4186.22+2399.24+791.83+43.92+239.33</f>
        <v>38086.1</v>
      </c>
      <c r="AG39" s="736">
        <f>AF39*1.21</f>
        <v>46084.181</v>
      </c>
      <c r="AH39" s="384"/>
      <c r="AI39" s="738">
        <v>2139</v>
      </c>
      <c r="AJ39" s="686">
        <v>575</v>
      </c>
      <c r="AK39" s="686">
        <f>AI39+AJ39</f>
        <v>2714</v>
      </c>
      <c r="AL39" s="736">
        <f>3424.54+575.58+366+3829.13+41.22+1343.43+5424.71+254.11+43.92+76.81</f>
        <v>15379.45</v>
      </c>
      <c r="AM39" s="736">
        <f>AL39*1.21</f>
        <v>18609.1345</v>
      </c>
      <c r="AO39" s="672"/>
      <c r="AP39" s="689"/>
      <c r="AQ39" s="689"/>
      <c r="AR39" s="750"/>
      <c r="AT39" s="697"/>
      <c r="AU39" s="707"/>
      <c r="AV39" s="707"/>
      <c r="AW39" s="747"/>
    </row>
    <row r="40" spans="3:49" ht="15" customHeight="1" outlineLevel="1">
      <c r="C40" s="387" t="s">
        <v>152</v>
      </c>
      <c r="D40" s="388">
        <v>30</v>
      </c>
      <c r="E40" s="384"/>
      <c r="F40" s="673"/>
      <c r="G40" s="735"/>
      <c r="H40" s="735"/>
      <c r="I40" s="679"/>
      <c r="J40" s="384"/>
      <c r="K40" s="390"/>
      <c r="L40" s="430"/>
      <c r="M40" s="433"/>
      <c r="N40" s="390"/>
      <c r="O40" s="433"/>
      <c r="P40" s="384"/>
      <c r="Q40" s="739"/>
      <c r="R40" s="687"/>
      <c r="S40" s="687"/>
      <c r="T40" s="737"/>
      <c r="U40" s="737"/>
      <c r="V40" s="384"/>
      <c r="W40" s="739"/>
      <c r="X40" s="687"/>
      <c r="Y40" s="687"/>
      <c r="Z40" s="737"/>
      <c r="AA40" s="737"/>
      <c r="AB40" s="384"/>
      <c r="AC40" s="739"/>
      <c r="AD40" s="687"/>
      <c r="AE40" s="687"/>
      <c r="AF40" s="737"/>
      <c r="AG40" s="737"/>
      <c r="AH40" s="384"/>
      <c r="AI40" s="739"/>
      <c r="AJ40" s="687"/>
      <c r="AK40" s="687"/>
      <c r="AL40" s="737"/>
      <c r="AM40" s="737"/>
      <c r="AO40" s="672"/>
      <c r="AP40" s="689"/>
      <c r="AQ40" s="689"/>
      <c r="AR40" s="750"/>
      <c r="AT40" s="697"/>
      <c r="AU40" s="707"/>
      <c r="AV40" s="707"/>
      <c r="AW40" s="747"/>
    </row>
    <row r="41" spans="3:49" ht="15" customHeight="1" outlineLevel="1">
      <c r="C41" s="387" t="s">
        <v>153</v>
      </c>
      <c r="D41" s="388">
        <v>31</v>
      </c>
      <c r="E41" s="384"/>
      <c r="F41" s="671">
        <v>553.8</v>
      </c>
      <c r="G41" s="734">
        <f>F41*368.49</f>
        <v>204069.762</v>
      </c>
      <c r="H41" s="734">
        <f>G41*1.15</f>
        <v>234680.22629999998</v>
      </c>
      <c r="I41" s="677">
        <f>H41/F41</f>
        <v>423.7635</v>
      </c>
      <c r="J41" s="384"/>
      <c r="K41" s="390"/>
      <c r="L41" s="430"/>
      <c r="M41" s="433"/>
      <c r="N41" s="390"/>
      <c r="O41" s="433"/>
      <c r="P41" s="384"/>
      <c r="Q41" s="739"/>
      <c r="R41" s="687"/>
      <c r="S41" s="687"/>
      <c r="T41" s="737"/>
      <c r="U41" s="737"/>
      <c r="V41" s="384"/>
      <c r="W41" s="739"/>
      <c r="X41" s="687"/>
      <c r="Y41" s="687"/>
      <c r="Z41" s="737"/>
      <c r="AA41" s="737"/>
      <c r="AB41" s="384"/>
      <c r="AC41" s="739"/>
      <c r="AD41" s="687"/>
      <c r="AE41" s="687"/>
      <c r="AF41" s="737"/>
      <c r="AG41" s="737"/>
      <c r="AH41" s="384"/>
      <c r="AI41" s="739"/>
      <c r="AJ41" s="687"/>
      <c r="AK41" s="687"/>
      <c r="AL41" s="737"/>
      <c r="AM41" s="737"/>
      <c r="AO41" s="672"/>
      <c r="AP41" s="689"/>
      <c r="AQ41" s="689"/>
      <c r="AR41" s="750"/>
      <c r="AT41" s="697"/>
      <c r="AU41" s="707"/>
      <c r="AV41" s="707"/>
      <c r="AW41" s="747"/>
    </row>
    <row r="42" spans="3:49" ht="15" customHeight="1" outlineLevel="1">
      <c r="C42" s="387" t="s">
        <v>154</v>
      </c>
      <c r="D42" s="388">
        <v>31</v>
      </c>
      <c r="E42" s="384"/>
      <c r="F42" s="672"/>
      <c r="G42" s="687"/>
      <c r="H42" s="687"/>
      <c r="I42" s="678"/>
      <c r="J42" s="384"/>
      <c r="K42" s="390"/>
      <c r="L42" s="430"/>
      <c r="M42" s="433"/>
      <c r="N42" s="390"/>
      <c r="O42" s="433"/>
      <c r="P42" s="384"/>
      <c r="Q42" s="739"/>
      <c r="R42" s="687"/>
      <c r="S42" s="687"/>
      <c r="T42" s="737"/>
      <c r="U42" s="737"/>
      <c r="V42" s="384"/>
      <c r="W42" s="739"/>
      <c r="X42" s="687"/>
      <c r="Y42" s="687"/>
      <c r="Z42" s="737"/>
      <c r="AA42" s="737"/>
      <c r="AB42" s="384"/>
      <c r="AC42" s="739"/>
      <c r="AD42" s="687"/>
      <c r="AE42" s="687"/>
      <c r="AF42" s="737"/>
      <c r="AG42" s="737"/>
      <c r="AH42" s="384"/>
      <c r="AI42" s="739"/>
      <c r="AJ42" s="687"/>
      <c r="AK42" s="687"/>
      <c r="AL42" s="737"/>
      <c r="AM42" s="737"/>
      <c r="AO42" s="672"/>
      <c r="AP42" s="689"/>
      <c r="AQ42" s="689"/>
      <c r="AR42" s="750"/>
      <c r="AT42" s="697"/>
      <c r="AU42" s="707"/>
      <c r="AV42" s="707"/>
      <c r="AW42" s="747"/>
    </row>
    <row r="43" spans="3:49" ht="15" customHeight="1" outlineLevel="1">
      <c r="C43" s="387" t="s">
        <v>155</v>
      </c>
      <c r="D43" s="388">
        <v>30</v>
      </c>
      <c r="E43" s="384"/>
      <c r="F43" s="672"/>
      <c r="G43" s="687"/>
      <c r="H43" s="687"/>
      <c r="I43" s="678"/>
      <c r="J43" s="384"/>
      <c r="K43" s="390"/>
      <c r="L43" s="430"/>
      <c r="M43" s="433"/>
      <c r="N43" s="390"/>
      <c r="O43" s="433"/>
      <c r="P43" s="384"/>
      <c r="Q43" s="739"/>
      <c r="R43" s="687"/>
      <c r="S43" s="687"/>
      <c r="T43" s="737"/>
      <c r="U43" s="737"/>
      <c r="V43" s="384"/>
      <c r="W43" s="739"/>
      <c r="X43" s="687"/>
      <c r="Y43" s="687"/>
      <c r="Z43" s="737"/>
      <c r="AA43" s="737"/>
      <c r="AB43" s="384"/>
      <c r="AC43" s="739"/>
      <c r="AD43" s="687"/>
      <c r="AE43" s="687"/>
      <c r="AF43" s="737"/>
      <c r="AG43" s="737"/>
      <c r="AH43" s="384"/>
      <c r="AI43" s="739"/>
      <c r="AJ43" s="687"/>
      <c r="AK43" s="687"/>
      <c r="AL43" s="737"/>
      <c r="AM43" s="737"/>
      <c r="AO43" s="672"/>
      <c r="AP43" s="689"/>
      <c r="AQ43" s="689"/>
      <c r="AR43" s="750"/>
      <c r="AT43" s="697"/>
      <c r="AU43" s="707"/>
      <c r="AV43" s="707"/>
      <c r="AW43" s="747"/>
    </row>
    <row r="44" spans="3:49" ht="15" customHeight="1" outlineLevel="1">
      <c r="C44" s="387" t="s">
        <v>156</v>
      </c>
      <c r="D44" s="388">
        <v>31</v>
      </c>
      <c r="E44" s="384"/>
      <c r="F44" s="672"/>
      <c r="G44" s="687"/>
      <c r="H44" s="687"/>
      <c r="I44" s="678"/>
      <c r="J44" s="384"/>
      <c r="K44" s="390"/>
      <c r="L44" s="430"/>
      <c r="M44" s="433"/>
      <c r="N44" s="390"/>
      <c r="O44" s="433"/>
      <c r="P44" s="384"/>
      <c r="Q44" s="739"/>
      <c r="R44" s="687"/>
      <c r="S44" s="687"/>
      <c r="T44" s="737"/>
      <c r="U44" s="737"/>
      <c r="V44" s="384"/>
      <c r="W44" s="739"/>
      <c r="X44" s="687"/>
      <c r="Y44" s="687"/>
      <c r="Z44" s="737"/>
      <c r="AA44" s="737"/>
      <c r="AB44" s="384"/>
      <c r="AC44" s="739"/>
      <c r="AD44" s="687"/>
      <c r="AE44" s="687"/>
      <c r="AF44" s="737"/>
      <c r="AG44" s="737"/>
      <c r="AH44" s="384"/>
      <c r="AI44" s="739"/>
      <c r="AJ44" s="687"/>
      <c r="AK44" s="687"/>
      <c r="AL44" s="737"/>
      <c r="AM44" s="737"/>
      <c r="AO44" s="673"/>
      <c r="AP44" s="690"/>
      <c r="AQ44" s="690"/>
      <c r="AR44" s="751"/>
      <c r="AT44" s="698"/>
      <c r="AU44" s="745"/>
      <c r="AV44" s="745"/>
      <c r="AW44" s="748"/>
    </row>
    <row r="45" spans="3:49" ht="15" customHeight="1" outlineLevel="1">
      <c r="C45" s="387" t="s">
        <v>157</v>
      </c>
      <c r="D45" s="388">
        <v>30</v>
      </c>
      <c r="E45" s="384"/>
      <c r="F45" s="672"/>
      <c r="G45" s="687"/>
      <c r="H45" s="687"/>
      <c r="I45" s="678"/>
      <c r="J45" s="384"/>
      <c r="K45" s="390"/>
      <c r="L45" s="430"/>
      <c r="M45" s="433"/>
      <c r="N45" s="390"/>
      <c r="O45" s="433"/>
      <c r="P45" s="384"/>
      <c r="Q45" s="739"/>
      <c r="R45" s="687"/>
      <c r="S45" s="687"/>
      <c r="T45" s="737"/>
      <c r="U45" s="737"/>
      <c r="V45" s="384"/>
      <c r="W45" s="739"/>
      <c r="X45" s="687"/>
      <c r="Y45" s="687"/>
      <c r="Z45" s="737"/>
      <c r="AA45" s="737"/>
      <c r="AB45" s="384"/>
      <c r="AC45" s="739"/>
      <c r="AD45" s="687"/>
      <c r="AE45" s="687"/>
      <c r="AF45" s="737"/>
      <c r="AG45" s="737"/>
      <c r="AH45" s="384"/>
      <c r="AI45" s="739"/>
      <c r="AJ45" s="687"/>
      <c r="AK45" s="687"/>
      <c r="AL45" s="737"/>
      <c r="AM45" s="737"/>
      <c r="AO45" s="686">
        <v>99</v>
      </c>
      <c r="AP45" s="688">
        <v>43.46</v>
      </c>
      <c r="AQ45" s="688">
        <v>42.34</v>
      </c>
      <c r="AR45" s="736">
        <f>1.15*AO45*(AP45+AQ45)</f>
        <v>9768.33</v>
      </c>
      <c r="AT45" s="704">
        <v>0</v>
      </c>
      <c r="AU45" s="706">
        <v>0</v>
      </c>
      <c r="AV45" s="706">
        <v>42.34</v>
      </c>
      <c r="AW45" s="742">
        <f>1.15*AV45*86.978</f>
        <v>4235.045798</v>
      </c>
    </row>
    <row r="46" spans="3:49" ht="15" customHeight="1" outlineLevel="1">
      <c r="C46" s="387" t="s">
        <v>158</v>
      </c>
      <c r="D46" s="388">
        <v>31</v>
      </c>
      <c r="E46" s="384"/>
      <c r="F46" s="673"/>
      <c r="G46" s="735"/>
      <c r="H46" s="735"/>
      <c r="I46" s="679"/>
      <c r="J46" s="384"/>
      <c r="K46" s="390"/>
      <c r="L46" s="430"/>
      <c r="M46" s="433"/>
      <c r="N46" s="390"/>
      <c r="O46" s="433"/>
      <c r="P46" s="384"/>
      <c r="Q46" s="740"/>
      <c r="R46" s="687"/>
      <c r="S46" s="687"/>
      <c r="T46" s="737"/>
      <c r="U46" s="737"/>
      <c r="V46" s="384"/>
      <c r="W46" s="740"/>
      <c r="X46" s="687"/>
      <c r="Y46" s="687"/>
      <c r="Z46" s="737"/>
      <c r="AA46" s="737"/>
      <c r="AB46" s="384"/>
      <c r="AC46" s="740"/>
      <c r="AD46" s="687"/>
      <c r="AE46" s="687"/>
      <c r="AF46" s="737"/>
      <c r="AG46" s="737"/>
      <c r="AH46" s="384"/>
      <c r="AI46" s="740"/>
      <c r="AJ46" s="687"/>
      <c r="AK46" s="687"/>
      <c r="AL46" s="737"/>
      <c r="AM46" s="737"/>
      <c r="AO46" s="687"/>
      <c r="AP46" s="711"/>
      <c r="AQ46" s="711"/>
      <c r="AR46" s="741"/>
      <c r="AT46" s="705"/>
      <c r="AU46" s="712"/>
      <c r="AV46" s="712"/>
      <c r="AW46" s="743"/>
    </row>
    <row r="47" spans="6:49" ht="15">
      <c r="F47" s="398">
        <f>SUM(F35:F46)</f>
        <v>1293.4299999999998</v>
      </c>
      <c r="G47" s="398"/>
      <c r="H47" s="398">
        <f>SUM(H35:H46)</f>
        <v>548108.423805</v>
      </c>
      <c r="I47" s="398"/>
      <c r="K47" s="398">
        <f>SUM(K35:K46)</f>
        <v>0</v>
      </c>
      <c r="L47" s="398"/>
      <c r="M47" s="398"/>
      <c r="N47" s="398">
        <f>SUM(N35:N46)</f>
        <v>0</v>
      </c>
      <c r="Q47" s="452">
        <f>SUM(Q35:Q46)</f>
        <v>3664</v>
      </c>
      <c r="R47" s="452">
        <f>SUM(R35:R46)</f>
        <v>0</v>
      </c>
      <c r="S47" s="452">
        <f>SUM(S35:S46)</f>
        <v>3664</v>
      </c>
      <c r="T47" s="454"/>
      <c r="U47" s="452">
        <f>SUM(U35:U46)</f>
        <v>20590.060952999997</v>
      </c>
      <c r="W47" s="452">
        <f>SUM(W35:W46)</f>
        <v>18307.6</v>
      </c>
      <c r="X47" s="452">
        <f>SUM(X35:X46)</f>
        <v>0</v>
      </c>
      <c r="Y47" s="452">
        <f>SUM(Y35:Y46)</f>
        <v>18307.6</v>
      </c>
      <c r="Z47" s="402"/>
      <c r="AA47" s="452">
        <f>SUM(AA35:AA46)</f>
        <v>98566.39429999999</v>
      </c>
      <c r="AC47" s="452">
        <f>SUM(AC35:AC46)</f>
        <v>8457</v>
      </c>
      <c r="AD47" s="452">
        <f>SUM(AD35:AD46)</f>
        <v>0</v>
      </c>
      <c r="AE47" s="452">
        <f>SUM(AE35:AE46)</f>
        <v>8457</v>
      </c>
      <c r="AF47" s="454"/>
      <c r="AG47" s="452">
        <f>SUM(AG35:AG46)</f>
        <v>46084.181</v>
      </c>
      <c r="AI47" s="452">
        <f>SUM(AI35:AI46)</f>
        <v>2139</v>
      </c>
      <c r="AJ47" s="452">
        <f>SUM(AJ35:AJ46)</f>
        <v>575</v>
      </c>
      <c r="AK47" s="452">
        <f>SUM(AK35:AK46)</f>
        <v>2714</v>
      </c>
      <c r="AL47" s="454"/>
      <c r="AM47" s="452">
        <f>SUM(AM35:AM46)</f>
        <v>18609.1345</v>
      </c>
      <c r="AO47" s="452">
        <f>SUM(AO35:AO46)</f>
        <v>757</v>
      </c>
      <c r="AP47" s="404"/>
      <c r="AQ47" s="404"/>
      <c r="AR47" s="452">
        <f>SUM(AR35:AR46)</f>
        <v>74693.19</v>
      </c>
      <c r="AT47" s="455">
        <f>SUM(AT35:AT46)</f>
        <v>0</v>
      </c>
      <c r="AU47" s="406"/>
      <c r="AV47" s="406"/>
      <c r="AW47" s="455">
        <f>SUM(AW35:AW46)</f>
        <v>29165.909000000003</v>
      </c>
    </row>
    <row r="48" spans="2:49" ht="15">
      <c r="B48" s="382"/>
      <c r="E48" s="421"/>
      <c r="J48" s="421"/>
      <c r="K48" s="420"/>
      <c r="L48" s="420"/>
      <c r="M48" s="434"/>
      <c r="N48" s="434"/>
      <c r="O48" s="434"/>
      <c r="P48" s="421"/>
      <c r="Q48" s="453"/>
      <c r="R48" s="453"/>
      <c r="S48" s="453"/>
      <c r="T48" s="454"/>
      <c r="U48" s="461"/>
      <c r="V48" s="421"/>
      <c r="W48" s="453"/>
      <c r="X48" s="453"/>
      <c r="Y48" s="453"/>
      <c r="Z48" s="402"/>
      <c r="AA48" s="461"/>
      <c r="AB48" s="421"/>
      <c r="AC48" s="453"/>
      <c r="AD48" s="453"/>
      <c r="AE48" s="453"/>
      <c r="AF48" s="454"/>
      <c r="AG48" s="461"/>
      <c r="AH48" s="421"/>
      <c r="AI48" s="453"/>
      <c r="AJ48" s="453"/>
      <c r="AK48" s="453"/>
      <c r="AL48" s="454"/>
      <c r="AM48" s="461"/>
      <c r="AO48" s="409"/>
      <c r="AP48" s="413"/>
      <c r="AQ48" s="413"/>
      <c r="AR48" s="457"/>
      <c r="AT48" s="415"/>
      <c r="AU48" s="416"/>
      <c r="AV48" s="416"/>
      <c r="AW48" s="458"/>
    </row>
    <row r="49" spans="2:49" ht="15.75" customHeight="1" outlineLevel="1">
      <c r="B49" s="386">
        <f>B35+1</f>
        <v>2019</v>
      </c>
      <c r="C49" s="387" t="s">
        <v>147</v>
      </c>
      <c r="D49" s="388">
        <v>31</v>
      </c>
      <c r="E49" s="389"/>
      <c r="F49" s="671">
        <v>805.18</v>
      </c>
      <c r="G49" s="734">
        <f>297787.77</f>
        <v>297787.77</v>
      </c>
      <c r="H49" s="734">
        <f>G49*1.15</f>
        <v>342455.9355</v>
      </c>
      <c r="I49" s="677">
        <f>H49/F49</f>
        <v>425.31599828609757</v>
      </c>
      <c r="J49" s="389"/>
      <c r="K49" s="390"/>
      <c r="L49" s="430"/>
      <c r="M49" s="431"/>
      <c r="N49" s="431"/>
      <c r="O49" s="431"/>
      <c r="P49" s="389"/>
      <c r="Q49" s="738">
        <v>1258</v>
      </c>
      <c r="R49" s="686">
        <v>0</v>
      </c>
      <c r="S49" s="686">
        <f>Q49+R49</f>
        <v>1258</v>
      </c>
      <c r="T49" s="736">
        <f>1778.81+184.36+2818.49+622.71+401.51+95.85+28.39+35.6</f>
        <v>5965.720000000001</v>
      </c>
      <c r="U49" s="736">
        <f>T49*1.21</f>
        <v>7218.521200000001</v>
      </c>
      <c r="V49" s="389"/>
      <c r="W49" s="738">
        <v>6704.7</v>
      </c>
      <c r="X49" s="686">
        <v>0</v>
      </c>
      <c r="Y49" s="686">
        <f>W49+X49</f>
        <v>6704.7</v>
      </c>
      <c r="Z49" s="736">
        <f>9480.45+184.36+15021.55+3318.83+1601.93+510.83+28.39+189.74</f>
        <v>30336.080000000005</v>
      </c>
      <c r="AA49" s="736">
        <f>Z49*1.21</f>
        <v>36706.656800000004</v>
      </c>
      <c r="AB49" s="389"/>
      <c r="AC49" s="738">
        <v>4619</v>
      </c>
      <c r="AD49" s="686">
        <v>0</v>
      </c>
      <c r="AE49" s="686">
        <f>AC49+AD49</f>
        <v>4619</v>
      </c>
      <c r="AF49" s="736">
        <f>6531.27+184.36+10348.64+2286.41+1261.88+351.92+28.39+130.72</f>
        <v>21123.59</v>
      </c>
      <c r="AG49" s="736">
        <f>AF49*1.21</f>
        <v>25559.5439</v>
      </c>
      <c r="AH49" s="389"/>
      <c r="AI49" s="738">
        <v>1168</v>
      </c>
      <c r="AJ49" s="686">
        <v>401</v>
      </c>
      <c r="AK49" s="686">
        <f>AI49+AJ49</f>
        <v>1569</v>
      </c>
      <c r="AL49" s="736">
        <f>1869.97+401.4+184.36+2188.63+39.39+776.66+2855.61+119.54+28.39+44.4</f>
        <v>8508.35</v>
      </c>
      <c r="AM49" s="736">
        <f>AL49*1.21</f>
        <v>10295.1035</v>
      </c>
      <c r="AO49" s="671">
        <v>616</v>
      </c>
      <c r="AP49" s="716">
        <v>44.23</v>
      </c>
      <c r="AQ49" s="716">
        <v>42.34</v>
      </c>
      <c r="AR49" s="749">
        <f>1.15*AO49*(AP49+AQ49)</f>
        <v>61326.187999999995</v>
      </c>
      <c r="AT49" s="696">
        <v>0</v>
      </c>
      <c r="AU49" s="744">
        <v>0</v>
      </c>
      <c r="AV49" s="744">
        <v>42.34</v>
      </c>
      <c r="AW49" s="746">
        <f>1.15*AV49*541.562</f>
        <v>26369.195342000003</v>
      </c>
    </row>
    <row r="50" spans="3:49" ht="15" customHeight="1" outlineLevel="1">
      <c r="C50" s="387" t="s">
        <v>148</v>
      </c>
      <c r="D50" s="388">
        <v>28</v>
      </c>
      <c r="E50" s="384"/>
      <c r="F50" s="672"/>
      <c r="G50" s="687"/>
      <c r="H50" s="687"/>
      <c r="I50" s="678"/>
      <c r="J50" s="384"/>
      <c r="K50" s="390"/>
      <c r="L50" s="430"/>
      <c r="M50" s="431"/>
      <c r="N50" s="431"/>
      <c r="O50" s="431"/>
      <c r="P50" s="384"/>
      <c r="Q50" s="739"/>
      <c r="R50" s="687"/>
      <c r="S50" s="687"/>
      <c r="T50" s="737"/>
      <c r="U50" s="737"/>
      <c r="V50" s="384"/>
      <c r="W50" s="739"/>
      <c r="X50" s="687"/>
      <c r="Y50" s="687"/>
      <c r="Z50" s="737"/>
      <c r="AA50" s="737"/>
      <c r="AB50" s="384"/>
      <c r="AC50" s="739"/>
      <c r="AD50" s="687"/>
      <c r="AE50" s="687"/>
      <c r="AF50" s="737"/>
      <c r="AG50" s="737"/>
      <c r="AH50" s="384"/>
      <c r="AI50" s="739"/>
      <c r="AJ50" s="687"/>
      <c r="AK50" s="687"/>
      <c r="AL50" s="737"/>
      <c r="AM50" s="737"/>
      <c r="AO50" s="672"/>
      <c r="AP50" s="689"/>
      <c r="AQ50" s="689"/>
      <c r="AR50" s="750"/>
      <c r="AT50" s="697"/>
      <c r="AU50" s="707"/>
      <c r="AV50" s="707"/>
      <c r="AW50" s="747"/>
    </row>
    <row r="51" spans="3:49" ht="15" customHeight="1" outlineLevel="1">
      <c r="C51" s="387" t="s">
        <v>149</v>
      </c>
      <c r="D51" s="388">
        <v>31</v>
      </c>
      <c r="E51" s="384"/>
      <c r="F51" s="672"/>
      <c r="G51" s="687"/>
      <c r="H51" s="687"/>
      <c r="I51" s="678"/>
      <c r="J51" s="384"/>
      <c r="K51" s="430"/>
      <c r="L51" s="430"/>
      <c r="M51" s="431"/>
      <c r="N51" s="431"/>
      <c r="O51" s="431"/>
      <c r="P51" s="384"/>
      <c r="Q51" s="739"/>
      <c r="R51" s="687"/>
      <c r="S51" s="687"/>
      <c r="T51" s="737"/>
      <c r="U51" s="737"/>
      <c r="V51" s="384"/>
      <c r="W51" s="739"/>
      <c r="X51" s="687"/>
      <c r="Y51" s="687"/>
      <c r="Z51" s="737"/>
      <c r="AA51" s="737"/>
      <c r="AB51" s="384"/>
      <c r="AC51" s="739"/>
      <c r="AD51" s="687"/>
      <c r="AE51" s="687"/>
      <c r="AF51" s="737"/>
      <c r="AG51" s="737"/>
      <c r="AH51" s="384"/>
      <c r="AI51" s="739"/>
      <c r="AJ51" s="687"/>
      <c r="AK51" s="687"/>
      <c r="AL51" s="737"/>
      <c r="AM51" s="737"/>
      <c r="AO51" s="672"/>
      <c r="AP51" s="689"/>
      <c r="AQ51" s="689"/>
      <c r="AR51" s="750"/>
      <c r="AT51" s="697"/>
      <c r="AU51" s="707"/>
      <c r="AV51" s="707"/>
      <c r="AW51" s="747"/>
    </row>
    <row r="52" spans="3:49" ht="15" customHeight="1" outlineLevel="1">
      <c r="C52" s="387" t="s">
        <v>150</v>
      </c>
      <c r="D52" s="388">
        <v>30</v>
      </c>
      <c r="E52" s="384"/>
      <c r="F52" s="672"/>
      <c r="G52" s="687"/>
      <c r="H52" s="687"/>
      <c r="I52" s="678"/>
      <c r="J52" s="384"/>
      <c r="K52" s="432"/>
      <c r="L52" s="432"/>
      <c r="M52" s="433"/>
      <c r="N52" s="431"/>
      <c r="O52" s="431"/>
      <c r="P52" s="384"/>
      <c r="Q52" s="740"/>
      <c r="R52" s="727"/>
      <c r="S52" s="727"/>
      <c r="T52" s="741"/>
      <c r="U52" s="741"/>
      <c r="V52" s="384"/>
      <c r="W52" s="740"/>
      <c r="X52" s="727"/>
      <c r="Y52" s="727"/>
      <c r="Z52" s="741"/>
      <c r="AA52" s="741"/>
      <c r="AB52" s="384"/>
      <c r="AC52" s="740"/>
      <c r="AD52" s="727"/>
      <c r="AE52" s="727"/>
      <c r="AF52" s="741"/>
      <c r="AG52" s="741"/>
      <c r="AH52" s="384"/>
      <c r="AI52" s="740"/>
      <c r="AJ52" s="727"/>
      <c r="AK52" s="727"/>
      <c r="AL52" s="741"/>
      <c r="AM52" s="741"/>
      <c r="AO52" s="672"/>
      <c r="AP52" s="689"/>
      <c r="AQ52" s="689"/>
      <c r="AR52" s="750"/>
      <c r="AT52" s="697"/>
      <c r="AU52" s="707"/>
      <c r="AV52" s="707"/>
      <c r="AW52" s="747"/>
    </row>
    <row r="53" spans="3:49" ht="15" customHeight="1" outlineLevel="1">
      <c r="C53" s="387" t="s">
        <v>151</v>
      </c>
      <c r="D53" s="388">
        <v>31</v>
      </c>
      <c r="E53" s="384"/>
      <c r="F53" s="672"/>
      <c r="G53" s="687"/>
      <c r="H53" s="687"/>
      <c r="I53" s="678"/>
      <c r="J53" s="384"/>
      <c r="K53" s="430"/>
      <c r="L53" s="430"/>
      <c r="M53" s="433"/>
      <c r="N53" s="431"/>
      <c r="O53" s="431"/>
      <c r="P53" s="384"/>
      <c r="Q53" s="738">
        <v>2254</v>
      </c>
      <c r="R53" s="686">
        <v>0</v>
      </c>
      <c r="S53" s="686">
        <f>Q53+R53</f>
        <v>2254</v>
      </c>
      <c r="T53" s="736">
        <f>3187.16+355.64+5049.97+1115.73+774.49+171.73+54.77+63.79</f>
        <v>10773.28</v>
      </c>
      <c r="U53" s="736">
        <f>T53*1.21</f>
        <v>13035.668800000001</v>
      </c>
      <c r="V53" s="384"/>
      <c r="W53" s="738">
        <f>2136+10134.6</f>
        <v>12270.6</v>
      </c>
      <c r="X53" s="686">
        <v>0</v>
      </c>
      <c r="Y53" s="686">
        <f>W53+X53</f>
        <v>12270.6</v>
      </c>
      <c r="Z53" s="736">
        <f>3020.3+14330.32+58.64+297+27491.67+6073.95+3090.07+934.9+54.77+60.45+286.81</f>
        <v>55698.87999999998</v>
      </c>
      <c r="AA53" s="736">
        <f>Z53*1.21</f>
        <v>67395.64479999998</v>
      </c>
      <c r="AB53" s="384"/>
      <c r="AC53" s="738">
        <f>5623+1732</f>
        <v>7355</v>
      </c>
      <c r="AD53" s="686">
        <v>0</v>
      </c>
      <c r="AE53" s="686">
        <f>AC53+AD53</f>
        <v>7355</v>
      </c>
      <c r="AF53" s="736">
        <f>7950.92+2449.05+286.65+69+16478.51+3640.73+2434.12+560.38+54.77+159.13+49.02</f>
        <v>34132.279999999984</v>
      </c>
      <c r="AG53" s="736">
        <f>AF53*1.21</f>
        <v>41300.05879999998</v>
      </c>
      <c r="AH53" s="384"/>
      <c r="AI53" s="738">
        <v>2648</v>
      </c>
      <c r="AJ53" s="686">
        <v>0</v>
      </c>
      <c r="AK53" s="686">
        <f>AI53+AJ53</f>
        <v>2648</v>
      </c>
      <c r="AL53" s="736">
        <f>3352.49+554.55+355.64+3923.8+54.41+1310.76+5508.39+201.75+54.77+74.94</f>
        <v>15391.500000000002</v>
      </c>
      <c r="AM53" s="736">
        <f>AL53*1.21</f>
        <v>18623.715</v>
      </c>
      <c r="AO53" s="672"/>
      <c r="AP53" s="689"/>
      <c r="AQ53" s="689"/>
      <c r="AR53" s="750"/>
      <c r="AT53" s="697"/>
      <c r="AU53" s="707"/>
      <c r="AV53" s="707"/>
      <c r="AW53" s="747"/>
    </row>
    <row r="54" spans="3:49" ht="15" customHeight="1" outlineLevel="1">
      <c r="C54" s="387" t="s">
        <v>152</v>
      </c>
      <c r="D54" s="388">
        <v>30</v>
      </c>
      <c r="E54" s="384"/>
      <c r="F54" s="673"/>
      <c r="G54" s="735"/>
      <c r="H54" s="735"/>
      <c r="I54" s="679"/>
      <c r="J54" s="384"/>
      <c r="K54" s="430"/>
      <c r="L54" s="430"/>
      <c r="M54" s="433"/>
      <c r="N54" s="431"/>
      <c r="O54" s="431"/>
      <c r="P54" s="384"/>
      <c r="Q54" s="739"/>
      <c r="R54" s="687"/>
      <c r="S54" s="687"/>
      <c r="T54" s="737"/>
      <c r="U54" s="737"/>
      <c r="V54" s="384"/>
      <c r="W54" s="739"/>
      <c r="X54" s="687"/>
      <c r="Y54" s="687"/>
      <c r="Z54" s="737"/>
      <c r="AA54" s="737"/>
      <c r="AB54" s="384"/>
      <c r="AC54" s="739"/>
      <c r="AD54" s="687"/>
      <c r="AE54" s="687"/>
      <c r="AF54" s="737"/>
      <c r="AG54" s="737"/>
      <c r="AH54" s="384"/>
      <c r="AI54" s="739"/>
      <c r="AJ54" s="687"/>
      <c r="AK54" s="687"/>
      <c r="AL54" s="737"/>
      <c r="AM54" s="737"/>
      <c r="AO54" s="672"/>
      <c r="AP54" s="689"/>
      <c r="AQ54" s="689"/>
      <c r="AR54" s="750"/>
      <c r="AT54" s="697"/>
      <c r="AU54" s="707"/>
      <c r="AV54" s="707"/>
      <c r="AW54" s="747"/>
    </row>
    <row r="55" spans="3:49" ht="15" customHeight="1" outlineLevel="1">
      <c r="C55" s="387" t="s">
        <v>153</v>
      </c>
      <c r="D55" s="388">
        <v>31</v>
      </c>
      <c r="E55" s="384"/>
      <c r="F55" s="671">
        <v>473.91</v>
      </c>
      <c r="G55" s="734">
        <f>175270.87</f>
        <v>175270.87</v>
      </c>
      <c r="H55" s="734">
        <f>G55*1.15</f>
        <v>201561.50049999997</v>
      </c>
      <c r="I55" s="677">
        <f>H55/F55</f>
        <v>425.3159893228671</v>
      </c>
      <c r="J55" s="384"/>
      <c r="K55" s="430"/>
      <c r="L55" s="430"/>
      <c r="M55" s="433"/>
      <c r="N55" s="431"/>
      <c r="O55" s="431"/>
      <c r="P55" s="384"/>
      <c r="Q55" s="739"/>
      <c r="R55" s="687"/>
      <c r="S55" s="687"/>
      <c r="T55" s="737"/>
      <c r="U55" s="737"/>
      <c r="V55" s="384"/>
      <c r="W55" s="739"/>
      <c r="X55" s="687"/>
      <c r="Y55" s="687"/>
      <c r="Z55" s="737"/>
      <c r="AA55" s="737"/>
      <c r="AB55" s="384"/>
      <c r="AC55" s="739"/>
      <c r="AD55" s="687"/>
      <c r="AE55" s="687"/>
      <c r="AF55" s="737"/>
      <c r="AG55" s="737"/>
      <c r="AH55" s="384"/>
      <c r="AI55" s="739"/>
      <c r="AJ55" s="687"/>
      <c r="AK55" s="687"/>
      <c r="AL55" s="737"/>
      <c r="AM55" s="737"/>
      <c r="AO55" s="672"/>
      <c r="AP55" s="689"/>
      <c r="AQ55" s="689"/>
      <c r="AR55" s="750"/>
      <c r="AT55" s="697"/>
      <c r="AU55" s="707"/>
      <c r="AV55" s="707"/>
      <c r="AW55" s="747"/>
    </row>
    <row r="56" spans="3:49" ht="15" customHeight="1" outlineLevel="1">
      <c r="C56" s="387" t="s">
        <v>154</v>
      </c>
      <c r="D56" s="388">
        <v>31</v>
      </c>
      <c r="E56" s="384"/>
      <c r="F56" s="672"/>
      <c r="G56" s="687"/>
      <c r="H56" s="687"/>
      <c r="I56" s="678"/>
      <c r="J56" s="384"/>
      <c r="K56" s="430"/>
      <c r="L56" s="430"/>
      <c r="M56" s="433"/>
      <c r="N56" s="431"/>
      <c r="O56" s="431"/>
      <c r="P56" s="384"/>
      <c r="Q56" s="739"/>
      <c r="R56" s="687"/>
      <c r="S56" s="687"/>
      <c r="T56" s="737"/>
      <c r="U56" s="737"/>
      <c r="V56" s="384"/>
      <c r="W56" s="739"/>
      <c r="X56" s="687"/>
      <c r="Y56" s="687"/>
      <c r="Z56" s="737"/>
      <c r="AA56" s="737"/>
      <c r="AB56" s="384"/>
      <c r="AC56" s="739"/>
      <c r="AD56" s="687"/>
      <c r="AE56" s="687"/>
      <c r="AF56" s="737"/>
      <c r="AG56" s="737"/>
      <c r="AH56" s="384"/>
      <c r="AI56" s="739"/>
      <c r="AJ56" s="687"/>
      <c r="AK56" s="687"/>
      <c r="AL56" s="737"/>
      <c r="AM56" s="737"/>
      <c r="AO56" s="672"/>
      <c r="AP56" s="689"/>
      <c r="AQ56" s="689"/>
      <c r="AR56" s="750"/>
      <c r="AT56" s="697"/>
      <c r="AU56" s="707"/>
      <c r="AV56" s="707"/>
      <c r="AW56" s="747"/>
    </row>
    <row r="57" spans="3:49" ht="15" customHeight="1" outlineLevel="1">
      <c r="C57" s="387" t="s">
        <v>155</v>
      </c>
      <c r="D57" s="388">
        <v>30</v>
      </c>
      <c r="E57" s="384"/>
      <c r="F57" s="672"/>
      <c r="G57" s="687"/>
      <c r="H57" s="687"/>
      <c r="I57" s="678"/>
      <c r="J57" s="384"/>
      <c r="K57" s="430"/>
      <c r="L57" s="430"/>
      <c r="M57" s="433"/>
      <c r="N57" s="431"/>
      <c r="O57" s="431"/>
      <c r="P57" s="384"/>
      <c r="Q57" s="739"/>
      <c r="R57" s="687"/>
      <c r="S57" s="687"/>
      <c r="T57" s="737"/>
      <c r="U57" s="737"/>
      <c r="V57" s="384"/>
      <c r="W57" s="739"/>
      <c r="X57" s="687"/>
      <c r="Y57" s="687"/>
      <c r="Z57" s="737"/>
      <c r="AA57" s="737"/>
      <c r="AB57" s="384"/>
      <c r="AC57" s="739"/>
      <c r="AD57" s="687"/>
      <c r="AE57" s="687"/>
      <c r="AF57" s="737"/>
      <c r="AG57" s="737"/>
      <c r="AH57" s="384"/>
      <c r="AI57" s="739"/>
      <c r="AJ57" s="687"/>
      <c r="AK57" s="687"/>
      <c r="AL57" s="737"/>
      <c r="AM57" s="737"/>
      <c r="AO57" s="672"/>
      <c r="AP57" s="689"/>
      <c r="AQ57" s="689"/>
      <c r="AR57" s="750"/>
      <c r="AT57" s="697"/>
      <c r="AU57" s="707"/>
      <c r="AV57" s="707"/>
      <c r="AW57" s="747"/>
    </row>
    <row r="58" spans="3:49" ht="15" customHeight="1" outlineLevel="1">
      <c r="C58" s="387" t="s">
        <v>156</v>
      </c>
      <c r="D58" s="388">
        <v>31</v>
      </c>
      <c r="E58" s="384"/>
      <c r="F58" s="672"/>
      <c r="G58" s="687"/>
      <c r="H58" s="687"/>
      <c r="I58" s="678"/>
      <c r="J58" s="384"/>
      <c r="K58" s="430"/>
      <c r="L58" s="430"/>
      <c r="M58" s="433"/>
      <c r="N58" s="433"/>
      <c r="O58" s="433"/>
      <c r="P58" s="384"/>
      <c r="Q58" s="739"/>
      <c r="R58" s="687"/>
      <c r="S58" s="687"/>
      <c r="T58" s="737"/>
      <c r="U58" s="737"/>
      <c r="V58" s="384"/>
      <c r="W58" s="739"/>
      <c r="X58" s="687"/>
      <c r="Y58" s="687"/>
      <c r="Z58" s="737"/>
      <c r="AA58" s="737"/>
      <c r="AB58" s="384"/>
      <c r="AC58" s="739"/>
      <c r="AD58" s="687"/>
      <c r="AE58" s="687"/>
      <c r="AF58" s="737"/>
      <c r="AG58" s="737"/>
      <c r="AH58" s="384"/>
      <c r="AI58" s="739"/>
      <c r="AJ58" s="687"/>
      <c r="AK58" s="687"/>
      <c r="AL58" s="737"/>
      <c r="AM58" s="737"/>
      <c r="AO58" s="673"/>
      <c r="AP58" s="690"/>
      <c r="AQ58" s="690"/>
      <c r="AR58" s="751"/>
      <c r="AT58" s="698"/>
      <c r="AU58" s="745"/>
      <c r="AV58" s="745"/>
      <c r="AW58" s="748"/>
    </row>
    <row r="59" spans="3:49" ht="15" customHeight="1" outlineLevel="1">
      <c r="C59" s="387" t="s">
        <v>157</v>
      </c>
      <c r="D59" s="388">
        <v>30</v>
      </c>
      <c r="E59" s="384"/>
      <c r="F59" s="672"/>
      <c r="G59" s="687"/>
      <c r="H59" s="687"/>
      <c r="I59" s="678"/>
      <c r="J59" s="384"/>
      <c r="K59" s="430"/>
      <c r="L59" s="430"/>
      <c r="M59" s="433"/>
      <c r="N59" s="433"/>
      <c r="O59" s="433"/>
      <c r="P59" s="384"/>
      <c r="Q59" s="739"/>
      <c r="R59" s="687"/>
      <c r="S59" s="687"/>
      <c r="T59" s="737"/>
      <c r="U59" s="737"/>
      <c r="V59" s="384"/>
      <c r="W59" s="739"/>
      <c r="X59" s="687"/>
      <c r="Y59" s="687"/>
      <c r="Z59" s="737"/>
      <c r="AA59" s="737"/>
      <c r="AB59" s="384"/>
      <c r="AC59" s="739"/>
      <c r="AD59" s="687"/>
      <c r="AE59" s="687"/>
      <c r="AF59" s="737"/>
      <c r="AG59" s="737"/>
      <c r="AH59" s="384"/>
      <c r="AI59" s="739"/>
      <c r="AJ59" s="687"/>
      <c r="AK59" s="687"/>
      <c r="AL59" s="737"/>
      <c r="AM59" s="737"/>
      <c r="AO59" s="430"/>
      <c r="AP59" s="462"/>
      <c r="AQ59" s="462"/>
      <c r="AR59" s="736">
        <f>(101544.5-AR49-AW49)/(AR45+AW45)*AR45</f>
        <v>9660.723505196696</v>
      </c>
      <c r="AT59" s="463"/>
      <c r="AU59" s="464"/>
      <c r="AV59" s="464"/>
      <c r="AW59" s="742">
        <f>(101544.5-AR49-AW49)/(AR45+AW45)*AW45</f>
        <v>4188.3931528033045</v>
      </c>
    </row>
    <row r="60" spans="3:49" ht="15" customHeight="1" outlineLevel="1">
      <c r="C60" s="387" t="s">
        <v>158</v>
      </c>
      <c r="D60" s="388">
        <v>31</v>
      </c>
      <c r="E60" s="384"/>
      <c r="F60" s="673"/>
      <c r="G60" s="735"/>
      <c r="H60" s="735"/>
      <c r="I60" s="679"/>
      <c r="J60" s="384"/>
      <c r="K60" s="430"/>
      <c r="L60" s="430"/>
      <c r="M60" s="433"/>
      <c r="N60" s="433"/>
      <c r="O60" s="433"/>
      <c r="P60" s="384"/>
      <c r="Q60" s="740"/>
      <c r="R60" s="687"/>
      <c r="S60" s="687"/>
      <c r="T60" s="737"/>
      <c r="U60" s="737"/>
      <c r="V60" s="384"/>
      <c r="W60" s="740"/>
      <c r="X60" s="687"/>
      <c r="Y60" s="687"/>
      <c r="Z60" s="737"/>
      <c r="AA60" s="737"/>
      <c r="AB60" s="384"/>
      <c r="AC60" s="740"/>
      <c r="AD60" s="687"/>
      <c r="AE60" s="687"/>
      <c r="AF60" s="737"/>
      <c r="AG60" s="737"/>
      <c r="AH60" s="384"/>
      <c r="AI60" s="740"/>
      <c r="AJ60" s="687"/>
      <c r="AK60" s="687"/>
      <c r="AL60" s="737"/>
      <c r="AM60" s="737"/>
      <c r="AO60" s="430"/>
      <c r="AP60" s="462"/>
      <c r="AQ60" s="462"/>
      <c r="AR60" s="741"/>
      <c r="AT60" s="463"/>
      <c r="AU60" s="464"/>
      <c r="AV60" s="464"/>
      <c r="AW60" s="743"/>
    </row>
    <row r="61" spans="6:49" ht="15">
      <c r="F61" s="398">
        <f>SUM(F49:F60)</f>
        <v>1279.09</v>
      </c>
      <c r="G61" s="398"/>
      <c r="H61" s="398">
        <f>SUM(H49:H60)</f>
        <v>544017.436</v>
      </c>
      <c r="K61" s="398">
        <f>SUM(K49:K60)</f>
        <v>0</v>
      </c>
      <c r="L61" s="398"/>
      <c r="M61" s="398"/>
      <c r="N61" s="398">
        <f>SUM(N49:N60)</f>
        <v>0</v>
      </c>
      <c r="Q61" s="452">
        <f>SUM(Q49:Q60)</f>
        <v>3512</v>
      </c>
      <c r="R61" s="452">
        <f>SUM(R49:R60)</f>
        <v>0</v>
      </c>
      <c r="S61" s="452">
        <f>SUM(S49:S60)</f>
        <v>3512</v>
      </c>
      <c r="U61" s="419">
        <f>SUM(U49:U60)</f>
        <v>20254.190000000002</v>
      </c>
      <c r="W61" s="452">
        <f>SUM(W49:W60)</f>
        <v>18975.3</v>
      </c>
      <c r="X61" s="452">
        <f>SUM(X49:X60)</f>
        <v>0</v>
      </c>
      <c r="Y61" s="452">
        <f>SUM(Y49:Y60)</f>
        <v>18975.3</v>
      </c>
      <c r="AA61" s="419">
        <f>SUM(AA49:AA60)</f>
        <v>104102.30159999998</v>
      </c>
      <c r="AC61" s="452">
        <f>SUM(AC49:AC60)</f>
        <v>11974</v>
      </c>
      <c r="AD61" s="452">
        <f>SUM(AD49:AD60)</f>
        <v>0</v>
      </c>
      <c r="AE61" s="452">
        <f>SUM(AE49:AE60)</f>
        <v>11974</v>
      </c>
      <c r="AF61" s="465"/>
      <c r="AG61" s="419">
        <f>SUM(AG49:AG60)</f>
        <v>66859.60269999997</v>
      </c>
      <c r="AI61" s="452">
        <f>SUM(AI49:AI60)</f>
        <v>3816</v>
      </c>
      <c r="AJ61" s="452">
        <f>SUM(AJ49:AJ60)</f>
        <v>401</v>
      </c>
      <c r="AK61" s="452">
        <f>SUM(AK49:AK60)</f>
        <v>4217</v>
      </c>
      <c r="AM61" s="419">
        <f>SUM(AM49:AM60)</f>
        <v>28918.8185</v>
      </c>
      <c r="AO61" s="452">
        <f>SUM(AO49:AO60)</f>
        <v>616</v>
      </c>
      <c r="AP61" s="404"/>
      <c r="AQ61" s="404"/>
      <c r="AR61" s="452">
        <f>SUM(AR49:AR60)</f>
        <v>70986.9115051967</v>
      </c>
      <c r="AT61" s="455">
        <f>SUM(AT49:AT60)</f>
        <v>0</v>
      </c>
      <c r="AU61" s="406"/>
      <c r="AV61" s="406"/>
      <c r="AW61" s="455">
        <f>SUM(AW49:AW60)</f>
        <v>30557.588494803305</v>
      </c>
    </row>
    <row r="62" spans="2:49" ht="15.75" customHeight="1">
      <c r="B62" s="395"/>
      <c r="C62" s="396"/>
      <c r="E62" s="397"/>
      <c r="F62" s="403"/>
      <c r="G62" s="427"/>
      <c r="H62" s="427"/>
      <c r="I62" s="427"/>
      <c r="J62" s="397"/>
      <c r="K62" s="403"/>
      <c r="L62" s="397"/>
      <c r="M62" s="402"/>
      <c r="N62" s="402"/>
      <c r="O62" s="402"/>
      <c r="P62" s="397"/>
      <c r="Q62" s="453"/>
      <c r="R62" s="453"/>
      <c r="S62" s="453"/>
      <c r="T62" s="454"/>
      <c r="U62" s="454"/>
      <c r="V62" s="397"/>
      <c r="W62" s="453"/>
      <c r="X62" s="453"/>
      <c r="Y62" s="453"/>
      <c r="Z62" s="402"/>
      <c r="AA62" s="454"/>
      <c r="AB62" s="397"/>
      <c r="AC62" s="453"/>
      <c r="AD62" s="453"/>
      <c r="AE62" s="453"/>
      <c r="AF62" s="454"/>
      <c r="AG62" s="454"/>
      <c r="AH62" s="397"/>
      <c r="AI62" s="453"/>
      <c r="AJ62" s="453"/>
      <c r="AK62" s="453"/>
      <c r="AL62" s="454"/>
      <c r="AM62" s="454"/>
      <c r="AO62" s="409"/>
      <c r="AP62" s="413"/>
      <c r="AQ62" s="413"/>
      <c r="AR62" s="357" t="s">
        <v>202</v>
      </c>
      <c r="AT62" s="415"/>
      <c r="AU62" s="416"/>
      <c r="AV62" s="416"/>
      <c r="AW62" s="458"/>
    </row>
    <row r="63" spans="2:39" ht="15.75">
      <c r="B63" s="386">
        <v>2020</v>
      </c>
      <c r="C63" s="387" t="s">
        <v>147</v>
      </c>
      <c r="F63" s="671">
        <v>813.83</v>
      </c>
      <c r="G63" s="734">
        <v>301035.72</v>
      </c>
      <c r="H63" s="734">
        <f>G63*1.15</f>
        <v>346191.0779999999</v>
      </c>
      <c r="I63" s="677">
        <f>H63/F63</f>
        <v>425.3850042392145</v>
      </c>
      <c r="Q63" s="738">
        <f>1090.2+203.8</f>
        <v>1294</v>
      </c>
      <c r="R63" s="686">
        <v>0</v>
      </c>
      <c r="S63" s="686">
        <f>Q63+R63</f>
        <v>1294</v>
      </c>
      <c r="T63" s="736">
        <f>17068.74-T53</f>
        <v>6295.460000000001</v>
      </c>
      <c r="U63" s="736">
        <f>T63*1.21</f>
        <v>7617.506600000001</v>
      </c>
      <c r="W63" s="738">
        <f>5811.2+1086.2</f>
        <v>6897.4</v>
      </c>
      <c r="X63" s="686">
        <v>0</v>
      </c>
      <c r="Y63" s="686">
        <f>W63+X63</f>
        <v>6897.4</v>
      </c>
      <c r="Z63" s="736">
        <f>87683.98-Z53</f>
        <v>31985.100000000013</v>
      </c>
      <c r="AA63" s="736">
        <f>Z63*1.21</f>
        <v>38701.97100000001</v>
      </c>
      <c r="AC63" s="738">
        <f>4002.8+748.2</f>
        <v>4751</v>
      </c>
      <c r="AD63" s="686">
        <v>0</v>
      </c>
      <c r="AE63" s="686">
        <f>AC63+AD63</f>
        <v>4751</v>
      </c>
      <c r="AF63" s="736">
        <f>56405.57-AF53</f>
        <v>22273.290000000015</v>
      </c>
      <c r="AG63" s="736">
        <f>AF63*1.21</f>
        <v>26950.680900000018</v>
      </c>
      <c r="AI63" s="738">
        <f>1383.5+233.5</f>
        <v>1617</v>
      </c>
      <c r="AJ63" s="686">
        <v>0</v>
      </c>
      <c r="AK63" s="686">
        <f>AI63+AJ63</f>
        <v>1617</v>
      </c>
      <c r="AL63" s="736">
        <f>24318.17-AL53</f>
        <v>8926.669999999996</v>
      </c>
      <c r="AM63" s="736">
        <f>AL63*1.21</f>
        <v>10801.270699999995</v>
      </c>
    </row>
    <row r="64" spans="3:39" ht="15">
      <c r="C64" s="387" t="s">
        <v>148</v>
      </c>
      <c r="F64" s="672"/>
      <c r="G64" s="687"/>
      <c r="H64" s="687"/>
      <c r="I64" s="678"/>
      <c r="Q64" s="739"/>
      <c r="R64" s="687"/>
      <c r="S64" s="687"/>
      <c r="T64" s="737"/>
      <c r="U64" s="737"/>
      <c r="W64" s="739"/>
      <c r="X64" s="687"/>
      <c r="Y64" s="687"/>
      <c r="Z64" s="737"/>
      <c r="AA64" s="737"/>
      <c r="AC64" s="739"/>
      <c r="AD64" s="687"/>
      <c r="AE64" s="687"/>
      <c r="AF64" s="737"/>
      <c r="AG64" s="737"/>
      <c r="AI64" s="739"/>
      <c r="AJ64" s="687"/>
      <c r="AK64" s="687"/>
      <c r="AL64" s="737"/>
      <c r="AM64" s="737"/>
    </row>
    <row r="65" spans="3:39" ht="15">
      <c r="C65" s="387" t="s">
        <v>149</v>
      </c>
      <c r="F65" s="672"/>
      <c r="G65" s="687"/>
      <c r="H65" s="687"/>
      <c r="I65" s="678"/>
      <c r="Q65" s="739"/>
      <c r="R65" s="687"/>
      <c r="S65" s="687"/>
      <c r="T65" s="737"/>
      <c r="U65" s="737"/>
      <c r="W65" s="739"/>
      <c r="X65" s="687"/>
      <c r="Y65" s="687"/>
      <c r="Z65" s="737"/>
      <c r="AA65" s="737"/>
      <c r="AC65" s="739"/>
      <c r="AD65" s="687"/>
      <c r="AE65" s="687"/>
      <c r="AF65" s="737"/>
      <c r="AG65" s="737"/>
      <c r="AI65" s="739"/>
      <c r="AJ65" s="687"/>
      <c r="AK65" s="687"/>
      <c r="AL65" s="737"/>
      <c r="AM65" s="737"/>
    </row>
    <row r="66" spans="3:39" ht="15">
      <c r="C66" s="387" t="s">
        <v>150</v>
      </c>
      <c r="F66" s="672"/>
      <c r="G66" s="687"/>
      <c r="H66" s="687"/>
      <c r="I66" s="678"/>
      <c r="Q66" s="740"/>
      <c r="R66" s="727"/>
      <c r="S66" s="727"/>
      <c r="T66" s="741"/>
      <c r="U66" s="741"/>
      <c r="W66" s="740"/>
      <c r="X66" s="727"/>
      <c r="Y66" s="727"/>
      <c r="Z66" s="741"/>
      <c r="AA66" s="741"/>
      <c r="AC66" s="740"/>
      <c r="AD66" s="727"/>
      <c r="AE66" s="727"/>
      <c r="AF66" s="741"/>
      <c r="AG66" s="741"/>
      <c r="AI66" s="740"/>
      <c r="AJ66" s="727"/>
      <c r="AK66" s="727"/>
      <c r="AL66" s="741"/>
      <c r="AM66" s="741"/>
    </row>
    <row r="67" spans="3:39" ht="15">
      <c r="C67" s="387" t="s">
        <v>151</v>
      </c>
      <c r="F67" s="672"/>
      <c r="G67" s="687"/>
      <c r="H67" s="687"/>
      <c r="I67" s="678"/>
      <c r="Q67" s="738"/>
      <c r="R67" s="686">
        <v>0</v>
      </c>
      <c r="S67" s="686">
        <f>Q67+R67</f>
        <v>0</v>
      </c>
      <c r="T67" s="736"/>
      <c r="U67" s="736">
        <f>T67*1.21</f>
        <v>0</v>
      </c>
      <c r="W67" s="738"/>
      <c r="X67" s="686">
        <v>0</v>
      </c>
      <c r="Y67" s="686">
        <f>W67+X67</f>
        <v>0</v>
      </c>
      <c r="Z67" s="736"/>
      <c r="AA67" s="736">
        <f>Z67*1.21</f>
        <v>0</v>
      </c>
      <c r="AC67" s="738"/>
      <c r="AD67" s="686">
        <v>0</v>
      </c>
      <c r="AE67" s="686">
        <f>AC67+AD67</f>
        <v>0</v>
      </c>
      <c r="AF67" s="736"/>
      <c r="AG67" s="736">
        <f>AF67*1.21</f>
        <v>0</v>
      </c>
      <c r="AI67" s="738"/>
      <c r="AJ67" s="686">
        <v>0</v>
      </c>
      <c r="AK67" s="686">
        <f>AI67+AJ67</f>
        <v>0</v>
      </c>
      <c r="AL67" s="736"/>
      <c r="AM67" s="736">
        <f>AL67*1.21</f>
        <v>0</v>
      </c>
    </row>
    <row r="68" spans="3:39" ht="15">
      <c r="C68" s="387" t="s">
        <v>152</v>
      </c>
      <c r="F68" s="673"/>
      <c r="G68" s="735"/>
      <c r="H68" s="735"/>
      <c r="I68" s="679"/>
      <c r="Q68" s="739"/>
      <c r="R68" s="687"/>
      <c r="S68" s="687"/>
      <c r="T68" s="737"/>
      <c r="U68" s="737"/>
      <c r="W68" s="739"/>
      <c r="X68" s="687"/>
      <c r="Y68" s="687"/>
      <c r="Z68" s="737"/>
      <c r="AA68" s="737"/>
      <c r="AC68" s="739"/>
      <c r="AD68" s="687"/>
      <c r="AE68" s="687"/>
      <c r="AF68" s="737"/>
      <c r="AG68" s="737"/>
      <c r="AI68" s="739"/>
      <c r="AJ68" s="687"/>
      <c r="AK68" s="687"/>
      <c r="AL68" s="737"/>
      <c r="AM68" s="737"/>
    </row>
    <row r="69" spans="3:39" ht="15">
      <c r="C69" s="387" t="s">
        <v>153</v>
      </c>
      <c r="F69" s="671"/>
      <c r="G69" s="734"/>
      <c r="H69" s="734">
        <f>G69*1.15</f>
        <v>0</v>
      </c>
      <c r="I69" s="677" t="e">
        <f>H69/F69</f>
        <v>#DIV/0!</v>
      </c>
      <c r="Q69" s="739"/>
      <c r="R69" s="687"/>
      <c r="S69" s="687"/>
      <c r="T69" s="737"/>
      <c r="U69" s="737"/>
      <c r="W69" s="739"/>
      <c r="X69" s="687"/>
      <c r="Y69" s="687"/>
      <c r="Z69" s="737"/>
      <c r="AA69" s="737"/>
      <c r="AC69" s="739"/>
      <c r="AD69" s="687"/>
      <c r="AE69" s="687"/>
      <c r="AF69" s="737"/>
      <c r="AG69" s="737"/>
      <c r="AI69" s="739"/>
      <c r="AJ69" s="687"/>
      <c r="AK69" s="687"/>
      <c r="AL69" s="737"/>
      <c r="AM69" s="737"/>
    </row>
    <row r="70" spans="3:39" ht="15">
      <c r="C70" s="387" t="s">
        <v>154</v>
      </c>
      <c r="F70" s="672"/>
      <c r="G70" s="687"/>
      <c r="H70" s="687"/>
      <c r="I70" s="678"/>
      <c r="Q70" s="739"/>
      <c r="R70" s="687"/>
      <c r="S70" s="687"/>
      <c r="T70" s="737"/>
      <c r="U70" s="737"/>
      <c r="W70" s="739"/>
      <c r="X70" s="687"/>
      <c r="Y70" s="687"/>
      <c r="Z70" s="737"/>
      <c r="AA70" s="737"/>
      <c r="AC70" s="739"/>
      <c r="AD70" s="687"/>
      <c r="AE70" s="687"/>
      <c r="AF70" s="737"/>
      <c r="AG70" s="737"/>
      <c r="AI70" s="739"/>
      <c r="AJ70" s="687"/>
      <c r="AK70" s="687"/>
      <c r="AL70" s="737"/>
      <c r="AM70" s="737"/>
    </row>
    <row r="71" spans="3:39" ht="15">
      <c r="C71" s="387" t="s">
        <v>155</v>
      </c>
      <c r="F71" s="672"/>
      <c r="G71" s="687"/>
      <c r="H71" s="687"/>
      <c r="I71" s="678"/>
      <c r="Q71" s="739"/>
      <c r="R71" s="687"/>
      <c r="S71" s="687"/>
      <c r="T71" s="737"/>
      <c r="U71" s="737"/>
      <c r="W71" s="739"/>
      <c r="X71" s="687"/>
      <c r="Y71" s="687"/>
      <c r="Z71" s="737"/>
      <c r="AA71" s="737"/>
      <c r="AC71" s="739"/>
      <c r="AD71" s="687"/>
      <c r="AE71" s="687"/>
      <c r="AF71" s="737"/>
      <c r="AG71" s="737"/>
      <c r="AI71" s="739"/>
      <c r="AJ71" s="687"/>
      <c r="AK71" s="687"/>
      <c r="AL71" s="737"/>
      <c r="AM71" s="737"/>
    </row>
    <row r="72" spans="3:39" ht="15">
      <c r="C72" s="387" t="s">
        <v>156</v>
      </c>
      <c r="F72" s="672"/>
      <c r="G72" s="687"/>
      <c r="H72" s="687"/>
      <c r="I72" s="678"/>
      <c r="Q72" s="739"/>
      <c r="R72" s="687"/>
      <c r="S72" s="687"/>
      <c r="T72" s="737"/>
      <c r="U72" s="737"/>
      <c r="W72" s="739"/>
      <c r="X72" s="687"/>
      <c r="Y72" s="687"/>
      <c r="Z72" s="737"/>
      <c r="AA72" s="737"/>
      <c r="AC72" s="739"/>
      <c r="AD72" s="687"/>
      <c r="AE72" s="687"/>
      <c r="AF72" s="737"/>
      <c r="AG72" s="737"/>
      <c r="AI72" s="739"/>
      <c r="AJ72" s="687"/>
      <c r="AK72" s="687"/>
      <c r="AL72" s="737"/>
      <c r="AM72" s="737"/>
    </row>
    <row r="73" spans="3:39" ht="15">
      <c r="C73" s="387" t="s">
        <v>157</v>
      </c>
      <c r="F73" s="672"/>
      <c r="G73" s="687"/>
      <c r="H73" s="687"/>
      <c r="I73" s="678"/>
      <c r="Q73" s="739"/>
      <c r="R73" s="687"/>
      <c r="S73" s="687"/>
      <c r="T73" s="737"/>
      <c r="U73" s="737"/>
      <c r="W73" s="739"/>
      <c r="X73" s="687"/>
      <c r="Y73" s="687"/>
      <c r="Z73" s="737"/>
      <c r="AA73" s="737"/>
      <c r="AC73" s="739"/>
      <c r="AD73" s="687"/>
      <c r="AE73" s="687"/>
      <c r="AF73" s="737"/>
      <c r="AG73" s="737"/>
      <c r="AI73" s="739"/>
      <c r="AJ73" s="687"/>
      <c r="AK73" s="687"/>
      <c r="AL73" s="737"/>
      <c r="AM73" s="737"/>
    </row>
    <row r="74" spans="3:39" ht="15">
      <c r="C74" s="387" t="s">
        <v>158</v>
      </c>
      <c r="F74" s="673"/>
      <c r="G74" s="735"/>
      <c r="H74" s="735"/>
      <c r="I74" s="679"/>
      <c r="Q74" s="740"/>
      <c r="R74" s="687"/>
      <c r="S74" s="687"/>
      <c r="T74" s="737"/>
      <c r="U74" s="737"/>
      <c r="W74" s="740"/>
      <c r="X74" s="687"/>
      <c r="Y74" s="687"/>
      <c r="Z74" s="737"/>
      <c r="AA74" s="737"/>
      <c r="AC74" s="740"/>
      <c r="AD74" s="687"/>
      <c r="AE74" s="687"/>
      <c r="AF74" s="737"/>
      <c r="AG74" s="737"/>
      <c r="AI74" s="740"/>
      <c r="AJ74" s="687"/>
      <c r="AK74" s="687"/>
      <c r="AL74" s="737"/>
      <c r="AM74" s="737"/>
    </row>
    <row r="75" spans="6:39" ht="15">
      <c r="F75" s="398">
        <f>SUM(F63:F74)</f>
        <v>813.83</v>
      </c>
      <c r="G75" s="398"/>
      <c r="H75" s="398">
        <f>SUM(H63:H74)</f>
        <v>346191.0779999999</v>
      </c>
      <c r="Q75" s="452">
        <f>SUM(Q63:Q74)</f>
        <v>1294</v>
      </c>
      <c r="R75" s="452">
        <f>SUM(R63:R74)</f>
        <v>0</v>
      </c>
      <c r="S75" s="452">
        <f>SUM(S63:S74)</f>
        <v>1294</v>
      </c>
      <c r="T75" s="465"/>
      <c r="U75" s="419">
        <f>SUM(U63:U74)</f>
        <v>7617.506600000001</v>
      </c>
      <c r="W75" s="452">
        <f>SUM(W63:W74)</f>
        <v>6897.4</v>
      </c>
      <c r="X75" s="452">
        <f>SUM(X63:X74)</f>
        <v>0</v>
      </c>
      <c r="Y75" s="452">
        <f>SUM(Y63:Y74)</f>
        <v>6897.4</v>
      </c>
      <c r="Z75" s="465"/>
      <c r="AA75" s="419">
        <f>SUM(AA63:AA74)</f>
        <v>38701.97100000001</v>
      </c>
      <c r="AC75" s="452">
        <f>SUM(AC63:AC74)</f>
        <v>4751</v>
      </c>
      <c r="AD75" s="452">
        <f>SUM(AD63:AD74)</f>
        <v>0</v>
      </c>
      <c r="AE75" s="452">
        <f>SUM(AE63:AE74)</f>
        <v>4751</v>
      </c>
      <c r="AF75" s="465"/>
      <c r="AG75" s="419">
        <f>SUM(AG63:AG74)</f>
        <v>26950.680900000018</v>
      </c>
      <c r="AI75" s="452">
        <f>SUM(AI63:AI74)</f>
        <v>1617</v>
      </c>
      <c r="AJ75" s="452">
        <f>SUM(AJ63:AJ74)</f>
        <v>0</v>
      </c>
      <c r="AK75" s="452">
        <f>SUM(AK63:AK74)</f>
        <v>1617</v>
      </c>
      <c r="AL75" s="465"/>
      <c r="AM75" s="419">
        <f>SUM(AM63:AM74)</f>
        <v>10801.270699999995</v>
      </c>
    </row>
    <row r="77" spans="7:20" ht="15">
      <c r="G77" s="418"/>
      <c r="H77" s="449">
        <f>H55+H49</f>
        <v>544017.436</v>
      </c>
      <c r="I77" s="357" t="s">
        <v>203</v>
      </c>
      <c r="T77" s="360">
        <f>T49+T53+Z49+Z53+AF49+AF53+AL49+AL53</f>
        <v>181929.67999999996</v>
      </c>
    </row>
    <row r="78" spans="9:22" ht="15">
      <c r="I78" s="450" t="s">
        <v>204</v>
      </c>
      <c r="T78" s="360">
        <f>T77*1.21</f>
        <v>220134.91279999996</v>
      </c>
      <c r="V78" s="357" t="s">
        <v>205</v>
      </c>
    </row>
    <row r="80" spans="17:40" ht="15">
      <c r="Q80" s="466"/>
      <c r="R80" s="447"/>
      <c r="S80" s="466">
        <f>S61</f>
        <v>3512</v>
      </c>
      <c r="U80" s="466">
        <f>U61</f>
        <v>20254.190000000002</v>
      </c>
      <c r="V80" s="467"/>
      <c r="W80" s="466"/>
      <c r="X80" s="447"/>
      <c r="Y80" s="466">
        <f>Y61</f>
        <v>18975.3</v>
      </c>
      <c r="AA80" s="466">
        <f>AA61</f>
        <v>104102.30159999998</v>
      </c>
      <c r="AB80" s="467"/>
      <c r="AC80" s="422"/>
      <c r="AD80" s="447"/>
      <c r="AE80" s="466">
        <f>AE61</f>
        <v>11974</v>
      </c>
      <c r="AG80" s="466">
        <f>AG61</f>
        <v>66859.60269999997</v>
      </c>
      <c r="AH80" s="467"/>
      <c r="AI80" s="447"/>
      <c r="AJ80" s="447"/>
      <c r="AK80" s="466">
        <f>AK61</f>
        <v>4217</v>
      </c>
      <c r="AM80" s="466">
        <f>AM61</f>
        <v>28918.8185</v>
      </c>
      <c r="AN80" s="447"/>
    </row>
    <row r="81" spans="3:44" ht="15">
      <c r="C81" s="590" t="s">
        <v>272</v>
      </c>
      <c r="D81" s="591"/>
      <c r="E81" s="592"/>
      <c r="F81" s="589">
        <f>F61</f>
        <v>1279.09</v>
      </c>
      <c r="G81" s="590"/>
      <c r="H81" s="589">
        <f>H61</f>
        <v>544017.436</v>
      </c>
      <c r="I81" s="590"/>
      <c r="J81" s="592"/>
      <c r="K81" s="590"/>
      <c r="L81" s="590"/>
      <c r="M81" s="588"/>
      <c r="N81" s="588"/>
      <c r="O81" s="588"/>
      <c r="P81" s="592"/>
      <c r="Q81" s="593"/>
      <c r="R81" s="593"/>
      <c r="S81" s="587">
        <f>S80+Y80+AE80+AK80</f>
        <v>38678.3</v>
      </c>
      <c r="T81" s="588"/>
      <c r="U81" s="587">
        <f>U80+AA80+AG80+AM80</f>
        <v>220134.91279999993</v>
      </c>
      <c r="V81" s="592"/>
      <c r="W81" s="593"/>
      <c r="X81" s="593"/>
      <c r="Y81" s="593"/>
      <c r="Z81" s="588"/>
      <c r="AA81" s="588"/>
      <c r="AB81" s="592"/>
      <c r="AC81" s="593"/>
      <c r="AD81" s="593"/>
      <c r="AE81" s="593"/>
      <c r="AF81" s="588"/>
      <c r="AG81" s="588"/>
      <c r="AH81" s="592"/>
      <c r="AI81" s="593"/>
      <c r="AJ81" s="593"/>
      <c r="AK81" s="593"/>
      <c r="AL81" s="588"/>
      <c r="AM81" s="588"/>
      <c r="AN81" s="590"/>
      <c r="AO81" s="589">
        <f>AO47</f>
        <v>757</v>
      </c>
      <c r="AP81" s="590"/>
      <c r="AQ81" s="590"/>
      <c r="AR81" s="589">
        <f>AR47</f>
        <v>74693.19</v>
      </c>
    </row>
  </sheetData>
  <mergeCells count="286">
    <mergeCell ref="F2:G2"/>
    <mergeCell ref="K2:M2"/>
    <mergeCell ref="Q2:T2"/>
    <mergeCell ref="W2:Z2"/>
    <mergeCell ref="AC2:AF2"/>
    <mergeCell ref="AI2:AL2"/>
    <mergeCell ref="AO2:AR2"/>
    <mergeCell ref="AT2:AW2"/>
    <mergeCell ref="K3:M3"/>
    <mergeCell ref="Q3:T3"/>
    <mergeCell ref="W3:Z3"/>
    <mergeCell ref="AC3:AF3"/>
    <mergeCell ref="AI3:AL3"/>
    <mergeCell ref="AO3:AR3"/>
    <mergeCell ref="AT3:AW3"/>
    <mergeCell ref="Q4:T4"/>
    <mergeCell ref="W4:Z4"/>
    <mergeCell ref="AC4:AF4"/>
    <mergeCell ref="AI4:AL4"/>
    <mergeCell ref="B5:B6"/>
    <mergeCell ref="F7:F18"/>
    <mergeCell ref="G7:G18"/>
    <mergeCell ref="H7:H18"/>
    <mergeCell ref="I7:I18"/>
    <mergeCell ref="Z11:Z18"/>
    <mergeCell ref="AW7:AW16"/>
    <mergeCell ref="Q11:Q18"/>
    <mergeCell ref="R11:R18"/>
    <mergeCell ref="S11:S18"/>
    <mergeCell ref="T11:T18"/>
    <mergeCell ref="U11:U18"/>
    <mergeCell ref="W11:W18"/>
    <mergeCell ref="X11:X18"/>
    <mergeCell ref="Y11:Y18"/>
    <mergeCell ref="AO7:AO16"/>
    <mergeCell ref="AP7:AP16"/>
    <mergeCell ref="AQ7:AQ16"/>
    <mergeCell ref="AR7:AR16"/>
    <mergeCell ref="AT7:AT16"/>
    <mergeCell ref="AU7:AU16"/>
    <mergeCell ref="AM11:AM18"/>
    <mergeCell ref="AO17:AO18"/>
    <mergeCell ref="AA11:AA18"/>
    <mergeCell ref="AC11:AC18"/>
    <mergeCell ref="AD11:AD18"/>
    <mergeCell ref="AE11:AE18"/>
    <mergeCell ref="AF11:AF18"/>
    <mergeCell ref="AG11:AG18"/>
    <mergeCell ref="AV7:AV16"/>
    <mergeCell ref="Y21:Y24"/>
    <mergeCell ref="Z21:Z24"/>
    <mergeCell ref="AA21:AA24"/>
    <mergeCell ref="AC21:AC24"/>
    <mergeCell ref="AW17:AW18"/>
    <mergeCell ref="F21:F26"/>
    <mergeCell ref="G21:G26"/>
    <mergeCell ref="H21:H26"/>
    <mergeCell ref="I21:I26"/>
    <mergeCell ref="Q21:Q24"/>
    <mergeCell ref="R21:R24"/>
    <mergeCell ref="S21:S24"/>
    <mergeCell ref="T21:T24"/>
    <mergeCell ref="U21:U24"/>
    <mergeCell ref="AP17:AP18"/>
    <mergeCell ref="AQ17:AQ18"/>
    <mergeCell ref="AR17:AR18"/>
    <mergeCell ref="AT17:AT18"/>
    <mergeCell ref="AU17:AU18"/>
    <mergeCell ref="AV17:AV18"/>
    <mergeCell ref="AI11:AI18"/>
    <mergeCell ref="AJ11:AJ18"/>
    <mergeCell ref="AK11:AK18"/>
    <mergeCell ref="AL11:AL18"/>
    <mergeCell ref="AR21:AR30"/>
    <mergeCell ref="AT21:AT30"/>
    <mergeCell ref="AU21:AU30"/>
    <mergeCell ref="AV21:AV30"/>
    <mergeCell ref="AW21:AW30"/>
    <mergeCell ref="Q25:Q32"/>
    <mergeCell ref="R25:R32"/>
    <mergeCell ref="S25:S32"/>
    <mergeCell ref="T25:T32"/>
    <mergeCell ref="U25:U32"/>
    <mergeCell ref="AK21:AK24"/>
    <mergeCell ref="AL21:AL24"/>
    <mergeCell ref="AM21:AM24"/>
    <mergeCell ref="AO21:AO30"/>
    <mergeCell ref="AP21:AP30"/>
    <mergeCell ref="AQ21:AQ30"/>
    <mergeCell ref="AD21:AD24"/>
    <mergeCell ref="AE21:AE24"/>
    <mergeCell ref="AF21:AF24"/>
    <mergeCell ref="AG21:AG24"/>
    <mergeCell ref="AI21:AI24"/>
    <mergeCell ref="AJ21:AJ24"/>
    <mergeCell ref="W21:W24"/>
    <mergeCell ref="X21:X24"/>
    <mergeCell ref="AM25:AM32"/>
    <mergeCell ref="F27:F32"/>
    <mergeCell ref="G27:G32"/>
    <mergeCell ref="H27:H32"/>
    <mergeCell ref="I27:I32"/>
    <mergeCell ref="W25:W32"/>
    <mergeCell ref="X25:X32"/>
    <mergeCell ref="Y25:Y32"/>
    <mergeCell ref="Z25:Z32"/>
    <mergeCell ref="AA25:AA32"/>
    <mergeCell ref="AC25:AC32"/>
    <mergeCell ref="X35:X38"/>
    <mergeCell ref="Y35:Y38"/>
    <mergeCell ref="Z35:Z38"/>
    <mergeCell ref="AA35:AA38"/>
    <mergeCell ref="AV31:AV32"/>
    <mergeCell ref="AW31:AW32"/>
    <mergeCell ref="F35:F40"/>
    <mergeCell ref="G35:G40"/>
    <mergeCell ref="H35:H40"/>
    <mergeCell ref="I35:I40"/>
    <mergeCell ref="Q35:Q38"/>
    <mergeCell ref="R35:R38"/>
    <mergeCell ref="S35:S38"/>
    <mergeCell ref="T35:T38"/>
    <mergeCell ref="AO31:AO32"/>
    <mergeCell ref="AP31:AP32"/>
    <mergeCell ref="AQ31:AQ32"/>
    <mergeCell ref="AR31:AR32"/>
    <mergeCell ref="AT31:AT32"/>
    <mergeCell ref="AU31:AU32"/>
    <mergeCell ref="AD25:AD32"/>
    <mergeCell ref="AE25:AE32"/>
    <mergeCell ref="AF25:AF32"/>
    <mergeCell ref="AG25:AG32"/>
    <mergeCell ref="AV35:AV44"/>
    <mergeCell ref="AW35:AW44"/>
    <mergeCell ref="Q39:Q46"/>
    <mergeCell ref="R39:R46"/>
    <mergeCell ref="S39:S46"/>
    <mergeCell ref="T39:T46"/>
    <mergeCell ref="U39:U46"/>
    <mergeCell ref="W39:W46"/>
    <mergeCell ref="X39:X46"/>
    <mergeCell ref="Y39:Y46"/>
    <mergeCell ref="AO35:AO44"/>
    <mergeCell ref="AP35:AP44"/>
    <mergeCell ref="AQ35:AQ44"/>
    <mergeCell ref="AR35:AR44"/>
    <mergeCell ref="AT35:AT44"/>
    <mergeCell ref="AU35:AU44"/>
    <mergeCell ref="AC35:AC38"/>
    <mergeCell ref="AD35:AD38"/>
    <mergeCell ref="AE35:AE38"/>
    <mergeCell ref="AF35:AF38"/>
    <mergeCell ref="AG35:AG38"/>
    <mergeCell ref="AM35:AM38"/>
    <mergeCell ref="U35:U38"/>
    <mergeCell ref="W35:W38"/>
    <mergeCell ref="AQ45:AQ46"/>
    <mergeCell ref="AR45:AR46"/>
    <mergeCell ref="AT45:AT46"/>
    <mergeCell ref="AU45:AU46"/>
    <mergeCell ref="AV45:AV46"/>
    <mergeCell ref="AW45:AW46"/>
    <mergeCell ref="F41:F46"/>
    <mergeCell ref="G41:G46"/>
    <mergeCell ref="H41:H46"/>
    <mergeCell ref="I41:I46"/>
    <mergeCell ref="AO45:AO46"/>
    <mergeCell ref="AP45:AP46"/>
    <mergeCell ref="AG39:AG46"/>
    <mergeCell ref="AI39:AI46"/>
    <mergeCell ref="AJ39:AJ46"/>
    <mergeCell ref="AK39:AK46"/>
    <mergeCell ref="AL39:AL46"/>
    <mergeCell ref="AM39:AM46"/>
    <mergeCell ref="Z39:Z46"/>
    <mergeCell ref="AA39:AA46"/>
    <mergeCell ref="AC39:AC46"/>
    <mergeCell ref="AD39:AD46"/>
    <mergeCell ref="AE39:AE46"/>
    <mergeCell ref="AF39:AF46"/>
    <mergeCell ref="S49:S52"/>
    <mergeCell ref="T49:T52"/>
    <mergeCell ref="U49:U52"/>
    <mergeCell ref="W49:W52"/>
    <mergeCell ref="X49:X52"/>
    <mergeCell ref="Y49:Y52"/>
    <mergeCell ref="F49:F54"/>
    <mergeCell ref="G49:G54"/>
    <mergeCell ref="H49:H54"/>
    <mergeCell ref="I49:I54"/>
    <mergeCell ref="Q49:Q52"/>
    <mergeCell ref="R49:R52"/>
    <mergeCell ref="AU49:AU58"/>
    <mergeCell ref="AG49:AG52"/>
    <mergeCell ref="AI49:AI52"/>
    <mergeCell ref="AJ49:AJ52"/>
    <mergeCell ref="AK49:AK52"/>
    <mergeCell ref="AL49:AL52"/>
    <mergeCell ref="AM49:AM52"/>
    <mergeCell ref="Z49:Z52"/>
    <mergeCell ref="AA49:AA52"/>
    <mergeCell ref="AC49:AC52"/>
    <mergeCell ref="AD49:AD52"/>
    <mergeCell ref="AE49:AE52"/>
    <mergeCell ref="AF49:AF52"/>
    <mergeCell ref="U53:U60"/>
    <mergeCell ref="W53:W60"/>
    <mergeCell ref="X53:X60"/>
    <mergeCell ref="Y53:Y60"/>
    <mergeCell ref="AO49:AO58"/>
    <mergeCell ref="AP49:AP58"/>
    <mergeCell ref="AQ49:AQ58"/>
    <mergeCell ref="AR49:AR58"/>
    <mergeCell ref="AT49:AT58"/>
    <mergeCell ref="F55:F60"/>
    <mergeCell ref="G55:G60"/>
    <mergeCell ref="H55:H60"/>
    <mergeCell ref="I55:I60"/>
    <mergeCell ref="AR59:AR60"/>
    <mergeCell ref="AW59:AW60"/>
    <mergeCell ref="AG53:AG60"/>
    <mergeCell ref="AI53:AI60"/>
    <mergeCell ref="AJ53:AJ60"/>
    <mergeCell ref="AK53:AK60"/>
    <mergeCell ref="AL53:AL60"/>
    <mergeCell ref="AM53:AM60"/>
    <mergeCell ref="Z53:Z60"/>
    <mergeCell ref="AA53:AA60"/>
    <mergeCell ref="AC53:AC60"/>
    <mergeCell ref="AD53:AD60"/>
    <mergeCell ref="AE53:AE60"/>
    <mergeCell ref="AF53:AF60"/>
    <mergeCell ref="AV49:AV58"/>
    <mergeCell ref="AW49:AW58"/>
    <mergeCell ref="Q53:Q60"/>
    <mergeCell ref="R53:R60"/>
    <mergeCell ref="S53:S60"/>
    <mergeCell ref="T53:T60"/>
    <mergeCell ref="S63:S66"/>
    <mergeCell ref="T63:T66"/>
    <mergeCell ref="U63:U66"/>
    <mergeCell ref="W63:W66"/>
    <mergeCell ref="X63:X66"/>
    <mergeCell ref="Y63:Y66"/>
    <mergeCell ref="F63:F68"/>
    <mergeCell ref="G63:G68"/>
    <mergeCell ref="H63:H68"/>
    <mergeCell ref="I63:I68"/>
    <mergeCell ref="Q63:Q66"/>
    <mergeCell ref="R63:R66"/>
    <mergeCell ref="Q67:Q74"/>
    <mergeCell ref="R67:R74"/>
    <mergeCell ref="F69:F74"/>
    <mergeCell ref="G69:G74"/>
    <mergeCell ref="AG63:AG66"/>
    <mergeCell ref="AI63:AI66"/>
    <mergeCell ref="AJ63:AJ66"/>
    <mergeCell ref="AK63:AK66"/>
    <mergeCell ref="AL63:AL66"/>
    <mergeCell ref="AM63:AM66"/>
    <mergeCell ref="Z63:Z66"/>
    <mergeCell ref="AA63:AA66"/>
    <mergeCell ref="AC63:AC66"/>
    <mergeCell ref="AD63:AD66"/>
    <mergeCell ref="AE63:AE66"/>
    <mergeCell ref="AF63:AF66"/>
    <mergeCell ref="H69:H74"/>
    <mergeCell ref="I69:I74"/>
    <mergeCell ref="AG67:AG74"/>
    <mergeCell ref="AI67:AI74"/>
    <mergeCell ref="AJ67:AJ74"/>
    <mergeCell ref="AK67:AK74"/>
    <mergeCell ref="AL67:AL74"/>
    <mergeCell ref="AM67:AM74"/>
    <mergeCell ref="Z67:Z74"/>
    <mergeCell ref="AA67:AA74"/>
    <mergeCell ref="AC67:AC74"/>
    <mergeCell ref="AD67:AD74"/>
    <mergeCell ref="AE67:AE74"/>
    <mergeCell ref="AF67:AF74"/>
    <mergeCell ref="S67:S74"/>
    <mergeCell ref="T67:T74"/>
    <mergeCell ref="U67:U74"/>
    <mergeCell ref="W67:W74"/>
    <mergeCell ref="X67:X74"/>
    <mergeCell ref="Y67:Y74"/>
  </mergeCells>
  <conditionalFormatting sqref="Q35:R35">
    <cfRule type="cellIs" priority="103" dxfId="0" operator="greaterThan">
      <formula>0</formula>
    </cfRule>
  </conditionalFormatting>
  <conditionalFormatting sqref="Q25:R25">
    <cfRule type="cellIs" priority="104" dxfId="0" operator="greaterThan">
      <formula>0</formula>
    </cfRule>
  </conditionalFormatting>
  <conditionalFormatting sqref="Q7:S10">
    <cfRule type="cellIs" priority="105" dxfId="0" operator="greaterThan">
      <formula>0</formula>
    </cfRule>
  </conditionalFormatting>
  <conditionalFormatting sqref="S25">
    <cfRule type="cellIs" priority="102" dxfId="0" operator="greaterThan">
      <formula>0</formula>
    </cfRule>
  </conditionalFormatting>
  <conditionalFormatting sqref="S35">
    <cfRule type="cellIs" priority="101" dxfId="0" operator="greaterThan">
      <formula>0</formula>
    </cfRule>
  </conditionalFormatting>
  <conditionalFormatting sqref="F7">
    <cfRule type="cellIs" priority="100" dxfId="67" operator="greaterThan">
      <formula>0</formula>
    </cfRule>
  </conditionalFormatting>
  <conditionalFormatting sqref="AO59:AO60">
    <cfRule type="cellIs" priority="99" dxfId="51" operator="greaterThan">
      <formula>0</formula>
    </cfRule>
  </conditionalFormatting>
  <conditionalFormatting sqref="AT59:AT60">
    <cfRule type="cellIs" priority="98" dxfId="51" operator="greaterThan">
      <formula>0</formula>
    </cfRule>
  </conditionalFormatting>
  <conditionalFormatting sqref="AK35:AK38">
    <cfRule type="cellIs" priority="76" dxfId="0" operator="greaterThan">
      <formula>0</formula>
    </cfRule>
  </conditionalFormatting>
  <conditionalFormatting sqref="X7:Y10">
    <cfRule type="cellIs" priority="97" dxfId="0" operator="greaterThan">
      <formula>0</formula>
    </cfRule>
  </conditionalFormatting>
  <conditionalFormatting sqref="AI7:AI10">
    <cfRule type="cellIs" priority="74" dxfId="0" operator="greaterThan">
      <formula>0</formula>
    </cfRule>
  </conditionalFormatting>
  <conditionalFormatting sqref="W35:X35">
    <cfRule type="cellIs" priority="91" dxfId="0" operator="greaterThan">
      <formula>0</formula>
    </cfRule>
  </conditionalFormatting>
  <conditionalFormatting sqref="AD7:AE10">
    <cfRule type="cellIs" priority="96" dxfId="0" operator="greaterThan">
      <formula>0</formula>
    </cfRule>
  </conditionalFormatting>
  <conditionalFormatting sqref="Y25">
    <cfRule type="cellIs" priority="90" dxfId="0" operator="greaterThan">
      <formula>0</formula>
    </cfRule>
  </conditionalFormatting>
  <conditionalFormatting sqref="AK25:AK32">
    <cfRule type="cellIs" priority="77" dxfId="0" operator="greaterThan">
      <formula>0</formula>
    </cfRule>
  </conditionalFormatting>
  <conditionalFormatting sqref="AJ25:AJ32">
    <cfRule type="cellIs" priority="79" dxfId="0" operator="greaterThan">
      <formula>0</formula>
    </cfRule>
  </conditionalFormatting>
  <conditionalFormatting sqref="AI25:AI32">
    <cfRule type="cellIs" priority="75" dxfId="0" operator="greaterThan">
      <formula>0</formula>
    </cfRule>
  </conditionalFormatting>
  <conditionalFormatting sqref="W7:W10">
    <cfRule type="cellIs" priority="95" dxfId="0" operator="greaterThan">
      <formula>0</formula>
    </cfRule>
  </conditionalFormatting>
  <conditionalFormatting sqref="AC7:AC10">
    <cfRule type="cellIs" priority="94" dxfId="0" operator="greaterThan">
      <formula>0</formula>
    </cfRule>
  </conditionalFormatting>
  <conditionalFormatting sqref="F21">
    <cfRule type="cellIs" priority="93" dxfId="67" operator="greaterThan">
      <formula>0</formula>
    </cfRule>
  </conditionalFormatting>
  <conditionalFormatting sqref="AK49">
    <cfRule type="cellIs" priority="50" dxfId="0" operator="greaterThan">
      <formula>0</formula>
    </cfRule>
  </conditionalFormatting>
  <conditionalFormatting sqref="Q39:R39">
    <cfRule type="cellIs" priority="57" dxfId="0" operator="greaterThan">
      <formula>0</formula>
    </cfRule>
  </conditionalFormatting>
  <conditionalFormatting sqref="W25:X25">
    <cfRule type="cellIs" priority="92" dxfId="0" operator="greaterThan">
      <formula>0</formula>
    </cfRule>
  </conditionalFormatting>
  <conditionalFormatting sqref="AK11">
    <cfRule type="cellIs" priority="71" dxfId="0" operator="greaterThan">
      <formula>0</formula>
    </cfRule>
  </conditionalFormatting>
  <conditionalFormatting sqref="Y35">
    <cfRule type="cellIs" priority="89" dxfId="0" operator="greaterThan">
      <formula>0</formula>
    </cfRule>
  </conditionalFormatting>
  <conditionalFormatting sqref="AC21:AD21">
    <cfRule type="cellIs" priority="87" dxfId="0" operator="greaterThan">
      <formula>0</formula>
    </cfRule>
  </conditionalFormatting>
  <conditionalFormatting sqref="AC11:AD11">
    <cfRule type="cellIs" priority="88" dxfId="0" operator="greaterThan">
      <formula>0</formula>
    </cfRule>
  </conditionalFormatting>
  <conditionalFormatting sqref="AE11">
    <cfRule type="cellIs" priority="86" dxfId="0" operator="greaterThan">
      <formula>0</formula>
    </cfRule>
  </conditionalFormatting>
  <conditionalFormatting sqref="AE21">
    <cfRule type="cellIs" priority="85" dxfId="0" operator="greaterThan">
      <formula>0</formula>
    </cfRule>
  </conditionalFormatting>
  <conditionalFormatting sqref="Q21:R21">
    <cfRule type="cellIs" priority="83" dxfId="0" operator="greaterThan">
      <formula>0</formula>
    </cfRule>
  </conditionalFormatting>
  <conditionalFormatting sqref="Q11:R11">
    <cfRule type="cellIs" priority="84" dxfId="0" operator="greaterThan">
      <formula>0</formula>
    </cfRule>
  </conditionalFormatting>
  <conditionalFormatting sqref="S11">
    <cfRule type="cellIs" priority="82" dxfId="0" operator="greaterThan">
      <formula>0</formula>
    </cfRule>
  </conditionalFormatting>
  <conditionalFormatting sqref="S21">
    <cfRule type="cellIs" priority="81" dxfId="0" operator="greaterThan">
      <formula>0</formula>
    </cfRule>
  </conditionalFormatting>
  <conditionalFormatting sqref="AI35:AJ38">
    <cfRule type="cellIs" priority="78" dxfId="0" operator="greaterThan">
      <formula>0</formula>
    </cfRule>
  </conditionalFormatting>
  <conditionalFormatting sqref="AC49:AD49">
    <cfRule type="cellIs" priority="60" dxfId="0" operator="greaterThan">
      <formula>0</formula>
    </cfRule>
  </conditionalFormatting>
  <conditionalFormatting sqref="AJ7:AK10">
    <cfRule type="cellIs" priority="80" dxfId="0" operator="greaterThan">
      <formula>0</formula>
    </cfRule>
  </conditionalFormatting>
  <conditionalFormatting sqref="Q49:R49">
    <cfRule type="cellIs" priority="56" dxfId="0" operator="greaterThan">
      <formula>0</formula>
    </cfRule>
  </conditionalFormatting>
  <conditionalFormatting sqref="AI21:AJ21">
    <cfRule type="cellIs" priority="72" dxfId="0" operator="greaterThan">
      <formula>0</formula>
    </cfRule>
  </conditionalFormatting>
  <conditionalFormatting sqref="AI11:AJ11">
    <cfRule type="cellIs" priority="73" dxfId="0" operator="greaterThan">
      <formula>0</formula>
    </cfRule>
  </conditionalFormatting>
  <conditionalFormatting sqref="AK21">
    <cfRule type="cellIs" priority="70" dxfId="0" operator="greaterThan">
      <formula>0</formula>
    </cfRule>
  </conditionalFormatting>
  <conditionalFormatting sqref="W21:X21">
    <cfRule type="cellIs" priority="68" dxfId="0" operator="greaterThan">
      <formula>0</formula>
    </cfRule>
  </conditionalFormatting>
  <conditionalFormatting sqref="W11:X11">
    <cfRule type="cellIs" priority="69" dxfId="0" operator="greaterThan">
      <formula>0</formula>
    </cfRule>
  </conditionalFormatting>
  <conditionalFormatting sqref="Y11">
    <cfRule type="cellIs" priority="67" dxfId="0" operator="greaterThan">
      <formula>0</formula>
    </cfRule>
  </conditionalFormatting>
  <conditionalFormatting sqref="Y21">
    <cfRule type="cellIs" priority="66" dxfId="0" operator="greaterThan">
      <formula>0</formula>
    </cfRule>
  </conditionalFormatting>
  <conditionalFormatting sqref="AC35:AD35">
    <cfRule type="cellIs" priority="64" dxfId="0" operator="greaterThan">
      <formula>0</formula>
    </cfRule>
  </conditionalFormatting>
  <conditionalFormatting sqref="AC25:AD25">
    <cfRule type="cellIs" priority="65" dxfId="0" operator="greaterThan">
      <formula>0</formula>
    </cfRule>
  </conditionalFormatting>
  <conditionalFormatting sqref="AE25">
    <cfRule type="cellIs" priority="63" dxfId="0" operator="greaterThan">
      <formula>0</formula>
    </cfRule>
  </conditionalFormatting>
  <conditionalFormatting sqref="AE35">
    <cfRule type="cellIs" priority="62" dxfId="0" operator="greaterThan">
      <formula>0</formula>
    </cfRule>
  </conditionalFormatting>
  <conditionalFormatting sqref="AC39:AD39">
    <cfRule type="cellIs" priority="61" dxfId="0" operator="greaterThan">
      <formula>0</formula>
    </cfRule>
  </conditionalFormatting>
  <conditionalFormatting sqref="AE39">
    <cfRule type="cellIs" priority="59" dxfId="0" operator="greaterThan">
      <formula>0</formula>
    </cfRule>
  </conditionalFormatting>
  <conditionalFormatting sqref="AE49">
    <cfRule type="cellIs" priority="58" dxfId="0" operator="greaterThan">
      <formula>0</formula>
    </cfRule>
  </conditionalFormatting>
  <conditionalFormatting sqref="S39">
    <cfRule type="cellIs" priority="55" dxfId="0" operator="greaterThan">
      <formula>0</formula>
    </cfRule>
  </conditionalFormatting>
  <conditionalFormatting sqref="S49">
    <cfRule type="cellIs" priority="54" dxfId="0" operator="greaterThan">
      <formula>0</formula>
    </cfRule>
  </conditionalFormatting>
  <conditionalFormatting sqref="AI49:AJ49">
    <cfRule type="cellIs" priority="52" dxfId="0" operator="greaterThan">
      <formula>0</formula>
    </cfRule>
  </conditionalFormatting>
  <conditionalFormatting sqref="AI39:AJ39">
    <cfRule type="cellIs" priority="53" dxfId="0" operator="greaterThan">
      <formula>0</formula>
    </cfRule>
  </conditionalFormatting>
  <conditionalFormatting sqref="AK39">
    <cfRule type="cellIs" priority="51" dxfId="0" operator="greaterThan">
      <formula>0</formula>
    </cfRule>
  </conditionalFormatting>
  <conditionalFormatting sqref="W49:X49">
    <cfRule type="cellIs" priority="48" dxfId="0" operator="greaterThan">
      <formula>0</formula>
    </cfRule>
  </conditionalFormatting>
  <conditionalFormatting sqref="W39:X39">
    <cfRule type="cellIs" priority="49" dxfId="0" operator="greaterThan">
      <formula>0</formula>
    </cfRule>
  </conditionalFormatting>
  <conditionalFormatting sqref="Y39">
    <cfRule type="cellIs" priority="47" dxfId="0" operator="greaterThan">
      <formula>0</formula>
    </cfRule>
  </conditionalFormatting>
  <conditionalFormatting sqref="Y49">
    <cfRule type="cellIs" priority="46" dxfId="0" operator="greaterThan">
      <formula>0</formula>
    </cfRule>
  </conditionalFormatting>
  <conditionalFormatting sqref="F55">
    <cfRule type="cellIs" priority="41" dxfId="67" operator="greaterThan">
      <formula>0</formula>
    </cfRule>
  </conditionalFormatting>
  <conditionalFormatting sqref="F27">
    <cfRule type="cellIs" priority="45" dxfId="67" operator="greaterThan">
      <formula>0</formula>
    </cfRule>
  </conditionalFormatting>
  <conditionalFormatting sqref="F35">
    <cfRule type="cellIs" priority="44" dxfId="67" operator="greaterThan">
      <formula>0</formula>
    </cfRule>
  </conditionalFormatting>
  <conditionalFormatting sqref="F41">
    <cfRule type="cellIs" priority="43" dxfId="67" operator="greaterThan">
      <formula>0</formula>
    </cfRule>
  </conditionalFormatting>
  <conditionalFormatting sqref="F49">
    <cfRule type="cellIs" priority="42" dxfId="67" operator="greaterThan">
      <formula>0</formula>
    </cfRule>
  </conditionalFormatting>
  <conditionalFormatting sqref="AO45">
    <cfRule type="cellIs" priority="31" dxfId="51" operator="greaterThan">
      <formula>0</formula>
    </cfRule>
  </conditionalFormatting>
  <conditionalFormatting sqref="AT45">
    <cfRule type="cellIs" priority="28" dxfId="51" operator="greaterThan">
      <formula>0</formula>
    </cfRule>
  </conditionalFormatting>
  <conditionalFormatting sqref="AO21">
    <cfRule type="cellIs" priority="40" dxfId="51" operator="greaterThan">
      <formula>0</formula>
    </cfRule>
  </conditionalFormatting>
  <conditionalFormatting sqref="AT21">
    <cfRule type="cellIs" priority="35" dxfId="51" operator="greaterThan">
      <formula>0</formula>
    </cfRule>
  </conditionalFormatting>
  <conditionalFormatting sqref="AO7">
    <cfRule type="cellIs" priority="39" dxfId="51" operator="greaterThan">
      <formula>0</formula>
    </cfRule>
  </conditionalFormatting>
  <conditionalFormatting sqref="AO17">
    <cfRule type="cellIs" priority="38" dxfId="51" operator="greaterThan">
      <formula>0</formula>
    </cfRule>
  </conditionalFormatting>
  <conditionalFormatting sqref="AT7">
    <cfRule type="cellIs" priority="37" dxfId="51" operator="greaterThan">
      <formula>0</formula>
    </cfRule>
  </conditionalFormatting>
  <conditionalFormatting sqref="AT49">
    <cfRule type="cellIs" priority="27" dxfId="51" operator="greaterThan">
      <formula>0</formula>
    </cfRule>
  </conditionalFormatting>
  <conditionalFormatting sqref="AT17">
    <cfRule type="cellIs" priority="36" dxfId="51" operator="greaterThan">
      <formula>0</formula>
    </cfRule>
  </conditionalFormatting>
  <conditionalFormatting sqref="AO35">
    <cfRule type="cellIs" priority="34" dxfId="51" operator="greaterThan">
      <formula>0</formula>
    </cfRule>
  </conditionalFormatting>
  <conditionalFormatting sqref="AO31">
    <cfRule type="cellIs" priority="33" dxfId="51" operator="greaterThan">
      <formula>0</formula>
    </cfRule>
  </conditionalFormatting>
  <conditionalFormatting sqref="AO49">
    <cfRule type="cellIs" priority="32" dxfId="51" operator="greaterThan">
      <formula>0</formula>
    </cfRule>
  </conditionalFormatting>
  <conditionalFormatting sqref="AT31">
    <cfRule type="cellIs" priority="30" dxfId="51" operator="greaterThan">
      <formula>0</formula>
    </cfRule>
  </conditionalFormatting>
  <conditionalFormatting sqref="AT35">
    <cfRule type="cellIs" priority="29" dxfId="51" operator="greaterThan">
      <formula>0</formula>
    </cfRule>
  </conditionalFormatting>
  <conditionalFormatting sqref="AC53:AD53">
    <cfRule type="cellIs" priority="26" dxfId="0" operator="greaterThan">
      <formula>0</formula>
    </cfRule>
  </conditionalFormatting>
  <conditionalFormatting sqref="AE53">
    <cfRule type="cellIs" priority="25" dxfId="0" operator="greaterThan">
      <formula>0</formula>
    </cfRule>
  </conditionalFormatting>
  <conditionalFormatting sqref="AC63:AD63">
    <cfRule type="cellIs" priority="24" dxfId="0" operator="greaterThan">
      <formula>0</formula>
    </cfRule>
  </conditionalFormatting>
  <conditionalFormatting sqref="AE63">
    <cfRule type="cellIs" priority="23" dxfId="0" operator="greaterThan">
      <formula>0</formula>
    </cfRule>
  </conditionalFormatting>
  <conditionalFormatting sqref="AC67:AD67">
    <cfRule type="cellIs" priority="22" dxfId="0" operator="greaterThan">
      <formula>0</formula>
    </cfRule>
  </conditionalFormatting>
  <conditionalFormatting sqref="AE67">
    <cfRule type="cellIs" priority="21" dxfId="0" operator="greaterThan">
      <formula>0</formula>
    </cfRule>
  </conditionalFormatting>
  <conditionalFormatting sqref="Q53:R53">
    <cfRule type="cellIs" priority="20" dxfId="0" operator="greaterThan">
      <formula>0</formula>
    </cfRule>
  </conditionalFormatting>
  <conditionalFormatting sqref="S53">
    <cfRule type="cellIs" priority="19" dxfId="0" operator="greaterThan">
      <formula>0</formula>
    </cfRule>
  </conditionalFormatting>
  <conditionalFormatting sqref="Q63:R63">
    <cfRule type="cellIs" priority="18" dxfId="0" operator="greaterThan">
      <formula>0</formula>
    </cfRule>
  </conditionalFormatting>
  <conditionalFormatting sqref="S63">
    <cfRule type="cellIs" priority="17" dxfId="0" operator="greaterThan">
      <formula>0</formula>
    </cfRule>
  </conditionalFormatting>
  <conditionalFormatting sqref="Q67:R67">
    <cfRule type="cellIs" priority="16" dxfId="0" operator="greaterThan">
      <formula>0</formula>
    </cfRule>
  </conditionalFormatting>
  <conditionalFormatting sqref="S67">
    <cfRule type="cellIs" priority="15" dxfId="0" operator="greaterThan">
      <formula>0</formula>
    </cfRule>
  </conditionalFormatting>
  <conditionalFormatting sqref="AI53:AJ53">
    <cfRule type="cellIs" priority="14" dxfId="0" operator="greaterThan">
      <formula>0</formula>
    </cfRule>
  </conditionalFormatting>
  <conditionalFormatting sqref="AK53">
    <cfRule type="cellIs" priority="13" dxfId="0" operator="greaterThan">
      <formula>0</formula>
    </cfRule>
  </conditionalFormatting>
  <conditionalFormatting sqref="AI63:AJ63">
    <cfRule type="cellIs" priority="12" dxfId="0" operator="greaterThan">
      <formula>0</formula>
    </cfRule>
  </conditionalFormatting>
  <conditionalFormatting sqref="AK63">
    <cfRule type="cellIs" priority="11" dxfId="0" operator="greaterThan">
      <formula>0</formula>
    </cfRule>
  </conditionalFormatting>
  <conditionalFormatting sqref="AI67:AJ67">
    <cfRule type="cellIs" priority="10" dxfId="0" operator="greaterThan">
      <formula>0</formula>
    </cfRule>
  </conditionalFormatting>
  <conditionalFormatting sqref="AK67">
    <cfRule type="cellIs" priority="9" dxfId="0" operator="greaterThan">
      <formula>0</formula>
    </cfRule>
  </conditionalFormatting>
  <conditionalFormatting sqref="W53:X53">
    <cfRule type="cellIs" priority="8" dxfId="0" operator="greaterThan">
      <formula>0</formula>
    </cfRule>
  </conditionalFormatting>
  <conditionalFormatting sqref="Y53">
    <cfRule type="cellIs" priority="7" dxfId="0" operator="greaterThan">
      <formula>0</formula>
    </cfRule>
  </conditionalFormatting>
  <conditionalFormatting sqref="W63:X63">
    <cfRule type="cellIs" priority="6" dxfId="0" operator="greaterThan">
      <formula>0</formula>
    </cfRule>
  </conditionalFormatting>
  <conditionalFormatting sqref="Y63">
    <cfRule type="cellIs" priority="5" dxfId="0" operator="greaterThan">
      <formula>0</formula>
    </cfRule>
  </conditionalFormatting>
  <conditionalFormatting sqref="W67:X67">
    <cfRule type="cellIs" priority="4" dxfId="0" operator="greaterThan">
      <formula>0</formula>
    </cfRule>
  </conditionalFormatting>
  <conditionalFormatting sqref="Y67">
    <cfRule type="cellIs" priority="3" dxfId="0" operator="greaterThan">
      <formula>0</formula>
    </cfRule>
  </conditionalFormatting>
  <conditionalFormatting sqref="F69">
    <cfRule type="cellIs" priority="1" dxfId="67" operator="greaterThan">
      <formula>0</formula>
    </cfRule>
  </conditionalFormatting>
  <conditionalFormatting sqref="F63">
    <cfRule type="cellIs" priority="2" dxfId="67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2:AE87"/>
  <sheetViews>
    <sheetView zoomScale="55" zoomScaleNormal="55" workbookViewId="0" topLeftCell="A1">
      <pane xSplit="3" ySplit="20" topLeftCell="D21" activePane="bottomRight" state="frozen"/>
      <selection pane="topLeft" activeCell="Z86" sqref="Z86"/>
      <selection pane="topRight" activeCell="Z86" sqref="Z86"/>
      <selection pane="bottomLeft" activeCell="Z86" sqref="Z86"/>
      <selection pane="bottomRight" activeCell="U70" sqref="U70"/>
    </sheetView>
  </sheetViews>
  <sheetFormatPr defaultColWidth="10.140625" defaultRowHeight="15" outlineLevelRow="1" outlineLevelCol="1"/>
  <cols>
    <col min="1" max="1" width="0.9921875" style="357" customWidth="1"/>
    <col min="2" max="2" width="7.00390625" style="357" customWidth="1"/>
    <col min="3" max="3" width="9.00390625" style="357" customWidth="1"/>
    <col min="4" max="4" width="5.00390625" style="358" customWidth="1"/>
    <col min="5" max="5" width="3.7109375" style="359" customWidth="1"/>
    <col min="6" max="9" width="11.57421875" style="357" customWidth="1"/>
    <col min="10" max="10" width="3.7109375" style="359" customWidth="1"/>
    <col min="11" max="12" width="10.140625" style="357" hidden="1" customWidth="1" outlineLevel="1"/>
    <col min="13" max="15" width="11.7109375" style="360" hidden="1" customWidth="1" outlineLevel="1"/>
    <col min="16" max="16" width="3.7109375" style="359" hidden="1" customWidth="1" outlineLevel="1"/>
    <col min="17" max="17" width="12.7109375" style="361" customWidth="1" collapsed="1"/>
    <col min="18" max="19" width="12.7109375" style="361" customWidth="1"/>
    <col min="20" max="21" width="12.00390625" style="360" customWidth="1"/>
    <col min="22" max="22" width="3.7109375" style="359" customWidth="1"/>
    <col min="23" max="23" width="14.00390625" style="357" customWidth="1"/>
    <col min="24" max="25" width="7.7109375" style="357" customWidth="1"/>
    <col min="26" max="26" width="14.00390625" style="357" customWidth="1"/>
    <col min="27" max="27" width="3.7109375" style="357" customWidth="1"/>
    <col min="28" max="28" width="14.00390625" style="357" customWidth="1"/>
    <col min="29" max="30" width="7.7109375" style="357" customWidth="1"/>
    <col min="31" max="31" width="14.00390625" style="357" customWidth="1"/>
    <col min="32" max="204" width="10.140625" style="357" customWidth="1"/>
    <col min="205" max="217" width="14.00390625" style="357" customWidth="1"/>
    <col min="218" max="460" width="10.140625" style="357" customWidth="1"/>
    <col min="461" max="473" width="14.00390625" style="357" customWidth="1"/>
    <col min="474" max="716" width="10.140625" style="357" customWidth="1"/>
    <col min="717" max="729" width="14.00390625" style="357" customWidth="1"/>
    <col min="730" max="972" width="10.140625" style="357" customWidth="1"/>
    <col min="973" max="985" width="14.00390625" style="357" customWidth="1"/>
    <col min="986" max="1228" width="10.140625" style="357" customWidth="1"/>
    <col min="1229" max="1241" width="14.00390625" style="357" customWidth="1"/>
    <col min="1242" max="1484" width="10.140625" style="357" customWidth="1"/>
    <col min="1485" max="1497" width="14.00390625" style="357" customWidth="1"/>
    <col min="1498" max="1740" width="10.140625" style="357" customWidth="1"/>
    <col min="1741" max="1753" width="14.00390625" style="357" customWidth="1"/>
    <col min="1754" max="1996" width="10.140625" style="357" customWidth="1"/>
    <col min="1997" max="2009" width="14.00390625" style="357" customWidth="1"/>
    <col min="2010" max="2252" width="10.140625" style="357" customWidth="1"/>
    <col min="2253" max="2265" width="14.00390625" style="357" customWidth="1"/>
    <col min="2266" max="2508" width="10.140625" style="357" customWidth="1"/>
    <col min="2509" max="2521" width="14.00390625" style="357" customWidth="1"/>
    <col min="2522" max="2764" width="10.140625" style="357" customWidth="1"/>
    <col min="2765" max="2777" width="14.00390625" style="357" customWidth="1"/>
    <col min="2778" max="3020" width="10.140625" style="357" customWidth="1"/>
    <col min="3021" max="3033" width="14.00390625" style="357" customWidth="1"/>
    <col min="3034" max="3276" width="10.140625" style="357" customWidth="1"/>
    <col min="3277" max="3289" width="14.00390625" style="357" customWidth="1"/>
    <col min="3290" max="3532" width="10.140625" style="357" customWidth="1"/>
    <col min="3533" max="3545" width="14.00390625" style="357" customWidth="1"/>
    <col min="3546" max="3788" width="10.140625" style="357" customWidth="1"/>
    <col min="3789" max="3801" width="14.00390625" style="357" customWidth="1"/>
    <col min="3802" max="4044" width="10.140625" style="357" customWidth="1"/>
    <col min="4045" max="4057" width="14.00390625" style="357" customWidth="1"/>
    <col min="4058" max="4300" width="10.140625" style="357" customWidth="1"/>
    <col min="4301" max="4313" width="14.00390625" style="357" customWidth="1"/>
    <col min="4314" max="4556" width="10.140625" style="357" customWidth="1"/>
    <col min="4557" max="4569" width="14.00390625" style="357" customWidth="1"/>
    <col min="4570" max="4812" width="10.140625" style="357" customWidth="1"/>
    <col min="4813" max="4825" width="14.00390625" style="357" customWidth="1"/>
    <col min="4826" max="5068" width="10.140625" style="357" customWidth="1"/>
    <col min="5069" max="5081" width="14.00390625" style="357" customWidth="1"/>
    <col min="5082" max="5324" width="10.140625" style="357" customWidth="1"/>
    <col min="5325" max="5337" width="14.00390625" style="357" customWidth="1"/>
    <col min="5338" max="5580" width="10.140625" style="357" customWidth="1"/>
    <col min="5581" max="5593" width="14.00390625" style="357" customWidth="1"/>
    <col min="5594" max="5836" width="10.140625" style="357" customWidth="1"/>
    <col min="5837" max="5849" width="14.00390625" style="357" customWidth="1"/>
    <col min="5850" max="6092" width="10.140625" style="357" customWidth="1"/>
    <col min="6093" max="6105" width="14.00390625" style="357" customWidth="1"/>
    <col min="6106" max="6348" width="10.140625" style="357" customWidth="1"/>
    <col min="6349" max="6361" width="14.00390625" style="357" customWidth="1"/>
    <col min="6362" max="6604" width="10.140625" style="357" customWidth="1"/>
    <col min="6605" max="6617" width="14.00390625" style="357" customWidth="1"/>
    <col min="6618" max="6860" width="10.140625" style="357" customWidth="1"/>
    <col min="6861" max="6873" width="14.00390625" style="357" customWidth="1"/>
    <col min="6874" max="7116" width="10.140625" style="357" customWidth="1"/>
    <col min="7117" max="7129" width="14.00390625" style="357" customWidth="1"/>
    <col min="7130" max="7372" width="10.140625" style="357" customWidth="1"/>
    <col min="7373" max="7385" width="14.00390625" style="357" customWidth="1"/>
    <col min="7386" max="7628" width="10.140625" style="357" customWidth="1"/>
    <col min="7629" max="7641" width="14.00390625" style="357" customWidth="1"/>
    <col min="7642" max="7884" width="10.140625" style="357" customWidth="1"/>
    <col min="7885" max="7897" width="14.00390625" style="357" customWidth="1"/>
    <col min="7898" max="8140" width="10.140625" style="357" customWidth="1"/>
    <col min="8141" max="8153" width="14.00390625" style="357" customWidth="1"/>
    <col min="8154" max="8396" width="10.140625" style="357" customWidth="1"/>
    <col min="8397" max="8409" width="14.00390625" style="357" customWidth="1"/>
    <col min="8410" max="8652" width="10.140625" style="357" customWidth="1"/>
    <col min="8653" max="8665" width="14.00390625" style="357" customWidth="1"/>
    <col min="8666" max="8908" width="10.140625" style="357" customWidth="1"/>
    <col min="8909" max="8921" width="14.00390625" style="357" customWidth="1"/>
    <col min="8922" max="9164" width="10.140625" style="357" customWidth="1"/>
    <col min="9165" max="9177" width="14.00390625" style="357" customWidth="1"/>
    <col min="9178" max="9420" width="10.140625" style="357" customWidth="1"/>
    <col min="9421" max="9433" width="14.00390625" style="357" customWidth="1"/>
    <col min="9434" max="9676" width="10.140625" style="357" customWidth="1"/>
    <col min="9677" max="9689" width="14.00390625" style="357" customWidth="1"/>
    <col min="9690" max="9932" width="10.140625" style="357" customWidth="1"/>
    <col min="9933" max="9945" width="14.00390625" style="357" customWidth="1"/>
    <col min="9946" max="10188" width="10.140625" style="357" customWidth="1"/>
    <col min="10189" max="10201" width="14.00390625" style="357" customWidth="1"/>
    <col min="10202" max="10444" width="10.140625" style="357" customWidth="1"/>
    <col min="10445" max="10457" width="14.00390625" style="357" customWidth="1"/>
    <col min="10458" max="10700" width="10.140625" style="357" customWidth="1"/>
    <col min="10701" max="10713" width="14.00390625" style="357" customWidth="1"/>
    <col min="10714" max="10956" width="10.140625" style="357" customWidth="1"/>
    <col min="10957" max="10969" width="14.00390625" style="357" customWidth="1"/>
    <col min="10970" max="11212" width="10.140625" style="357" customWidth="1"/>
    <col min="11213" max="11225" width="14.00390625" style="357" customWidth="1"/>
    <col min="11226" max="11468" width="10.140625" style="357" customWidth="1"/>
    <col min="11469" max="11481" width="14.00390625" style="357" customWidth="1"/>
    <col min="11482" max="11724" width="10.140625" style="357" customWidth="1"/>
    <col min="11725" max="11737" width="14.00390625" style="357" customWidth="1"/>
    <col min="11738" max="11980" width="10.140625" style="357" customWidth="1"/>
    <col min="11981" max="11993" width="14.00390625" style="357" customWidth="1"/>
    <col min="11994" max="12236" width="10.140625" style="357" customWidth="1"/>
    <col min="12237" max="12249" width="14.00390625" style="357" customWidth="1"/>
    <col min="12250" max="12492" width="10.140625" style="357" customWidth="1"/>
    <col min="12493" max="12505" width="14.00390625" style="357" customWidth="1"/>
    <col min="12506" max="12748" width="10.140625" style="357" customWidth="1"/>
    <col min="12749" max="12761" width="14.00390625" style="357" customWidth="1"/>
    <col min="12762" max="13004" width="10.140625" style="357" customWidth="1"/>
    <col min="13005" max="13017" width="14.00390625" style="357" customWidth="1"/>
    <col min="13018" max="13260" width="10.140625" style="357" customWidth="1"/>
    <col min="13261" max="13273" width="14.00390625" style="357" customWidth="1"/>
    <col min="13274" max="13516" width="10.140625" style="357" customWidth="1"/>
    <col min="13517" max="13529" width="14.00390625" style="357" customWidth="1"/>
    <col min="13530" max="13772" width="10.140625" style="357" customWidth="1"/>
    <col min="13773" max="13785" width="14.00390625" style="357" customWidth="1"/>
    <col min="13786" max="14028" width="10.140625" style="357" customWidth="1"/>
    <col min="14029" max="14041" width="14.00390625" style="357" customWidth="1"/>
    <col min="14042" max="14284" width="10.140625" style="357" customWidth="1"/>
    <col min="14285" max="14297" width="14.00390625" style="357" customWidth="1"/>
    <col min="14298" max="14540" width="10.140625" style="357" customWidth="1"/>
    <col min="14541" max="14553" width="14.00390625" style="357" customWidth="1"/>
    <col min="14554" max="14796" width="10.140625" style="357" customWidth="1"/>
    <col min="14797" max="14809" width="14.00390625" style="357" customWidth="1"/>
    <col min="14810" max="15052" width="10.140625" style="357" customWidth="1"/>
    <col min="15053" max="15065" width="14.00390625" style="357" customWidth="1"/>
    <col min="15066" max="15308" width="10.140625" style="357" customWidth="1"/>
    <col min="15309" max="15321" width="14.00390625" style="357" customWidth="1"/>
    <col min="15322" max="15564" width="10.140625" style="357" customWidth="1"/>
    <col min="15565" max="15577" width="14.00390625" style="357" customWidth="1"/>
    <col min="15578" max="15820" width="10.140625" style="357" customWidth="1"/>
    <col min="15821" max="15833" width="14.00390625" style="357" customWidth="1"/>
    <col min="15834" max="16076" width="10.140625" style="357" customWidth="1"/>
    <col min="16077" max="16089" width="14.00390625" style="357" customWidth="1"/>
    <col min="16090" max="16384" width="10.140625" style="357" customWidth="1"/>
  </cols>
  <sheetData>
    <row r="1" ht="4.5" customHeight="1"/>
    <row r="2" spans="2:31" ht="15" customHeight="1">
      <c r="B2" s="362"/>
      <c r="C2" s="363"/>
      <c r="D2" s="363"/>
      <c r="E2" s="357"/>
      <c r="F2" s="662" t="s">
        <v>6</v>
      </c>
      <c r="G2" s="662"/>
      <c r="H2" s="356"/>
      <c r="I2" s="356"/>
      <c r="J2" s="357"/>
      <c r="K2" s="733" t="s">
        <v>144</v>
      </c>
      <c r="L2" s="733"/>
      <c r="M2" s="733"/>
      <c r="N2" s="364"/>
      <c r="O2" s="364"/>
      <c r="P2" s="357"/>
      <c r="Q2" s="730" t="s">
        <v>3</v>
      </c>
      <c r="R2" s="730"/>
      <c r="S2" s="730"/>
      <c r="T2" s="730"/>
      <c r="U2" s="365"/>
      <c r="V2" s="357"/>
      <c r="W2" s="665" t="s">
        <v>7</v>
      </c>
      <c r="X2" s="665"/>
      <c r="Y2" s="665"/>
      <c r="Z2" s="665"/>
      <c r="AB2" s="731" t="s">
        <v>7</v>
      </c>
      <c r="AC2" s="731"/>
      <c r="AD2" s="731"/>
      <c r="AE2" s="731"/>
    </row>
    <row r="3" spans="2:31" ht="15" customHeight="1">
      <c r="B3" s="362"/>
      <c r="C3" s="363"/>
      <c r="D3" s="363"/>
      <c r="E3" s="357"/>
      <c r="F3" s="366" t="s">
        <v>206</v>
      </c>
      <c r="G3" s="366"/>
      <c r="H3" s="367"/>
      <c r="I3" s="367"/>
      <c r="J3" s="357"/>
      <c r="K3" s="468" t="s">
        <v>207</v>
      </c>
      <c r="L3" s="468"/>
      <c r="M3" s="468"/>
      <c r="N3" s="368"/>
      <c r="O3" s="368"/>
      <c r="P3" s="357"/>
      <c r="Q3" s="728" t="s">
        <v>208</v>
      </c>
      <c r="R3" s="728"/>
      <c r="S3" s="728"/>
      <c r="T3" s="728"/>
      <c r="U3" s="369"/>
      <c r="V3" s="357"/>
      <c r="W3" s="666" t="s">
        <v>209</v>
      </c>
      <c r="X3" s="666"/>
      <c r="Y3" s="666"/>
      <c r="Z3" s="666"/>
      <c r="AB3" s="729" t="s">
        <v>210</v>
      </c>
      <c r="AC3" s="729"/>
      <c r="AD3" s="729"/>
      <c r="AE3" s="729"/>
    </row>
    <row r="4" spans="2:31" ht="15" customHeight="1">
      <c r="B4" s="362"/>
      <c r="C4" s="363"/>
      <c r="D4" s="363"/>
      <c r="E4" s="357"/>
      <c r="F4" s="367"/>
      <c r="G4" s="367"/>
      <c r="H4" s="367"/>
      <c r="I4" s="367"/>
      <c r="J4" s="357"/>
      <c r="K4" s="368"/>
      <c r="L4" s="368"/>
      <c r="M4" s="368"/>
      <c r="N4" s="368"/>
      <c r="O4" s="368"/>
      <c r="P4" s="357"/>
      <c r="Q4" s="773" t="s">
        <v>211</v>
      </c>
      <c r="R4" s="773"/>
      <c r="S4" s="773"/>
      <c r="T4" s="773"/>
      <c r="U4" s="369"/>
      <c r="V4" s="357"/>
      <c r="W4" s="5"/>
      <c r="X4" s="5"/>
      <c r="Y4" s="5"/>
      <c r="Z4" s="5"/>
      <c r="AB4" s="370"/>
      <c r="AC4" s="370"/>
      <c r="AD4" s="370"/>
      <c r="AE4" s="370"/>
    </row>
    <row r="5" spans="2:31" ht="15" customHeight="1">
      <c r="B5" s="726"/>
      <c r="C5" s="363"/>
      <c r="D5" s="363"/>
      <c r="E5" s="357"/>
      <c r="F5" s="324" t="s">
        <v>0</v>
      </c>
      <c r="G5" s="324" t="s">
        <v>4</v>
      </c>
      <c r="H5" s="324" t="s">
        <v>5</v>
      </c>
      <c r="I5" s="324" t="s">
        <v>184</v>
      </c>
      <c r="J5" s="357"/>
      <c r="K5" s="371" t="s">
        <v>185</v>
      </c>
      <c r="L5" s="371" t="s">
        <v>8</v>
      </c>
      <c r="M5" s="372" t="s">
        <v>4</v>
      </c>
      <c r="N5" s="372" t="s">
        <v>5</v>
      </c>
      <c r="O5" s="372" t="s">
        <v>115</v>
      </c>
      <c r="P5" s="357"/>
      <c r="Q5" s="373" t="s">
        <v>186</v>
      </c>
      <c r="R5" s="373" t="s">
        <v>187</v>
      </c>
      <c r="S5" s="373" t="s">
        <v>188</v>
      </c>
      <c r="T5" s="374" t="s">
        <v>4</v>
      </c>
      <c r="U5" s="374" t="s">
        <v>5</v>
      </c>
      <c r="V5" s="357"/>
      <c r="W5" s="375" t="s">
        <v>8</v>
      </c>
      <c r="X5" s="376" t="s">
        <v>189</v>
      </c>
      <c r="Y5" s="376" t="s">
        <v>190</v>
      </c>
      <c r="Z5" s="377" t="s">
        <v>191</v>
      </c>
      <c r="AB5" s="378" t="s">
        <v>192</v>
      </c>
      <c r="AC5" s="379" t="s">
        <v>189</v>
      </c>
      <c r="AD5" s="379" t="s">
        <v>190</v>
      </c>
      <c r="AE5" s="380" t="s">
        <v>201</v>
      </c>
    </row>
    <row r="6" spans="2:31" ht="8.25" customHeight="1">
      <c r="B6" s="726"/>
      <c r="C6" s="363"/>
      <c r="D6" s="381"/>
      <c r="F6" s="382"/>
      <c r="G6" s="382"/>
      <c r="H6" s="382"/>
      <c r="I6" s="382"/>
      <c r="M6" s="383"/>
      <c r="N6" s="383"/>
      <c r="O6" s="383"/>
      <c r="T6" s="383"/>
      <c r="U6" s="383"/>
      <c r="AB6" s="385"/>
      <c r="AC6" s="385"/>
      <c r="AD6" s="385"/>
      <c r="AE6" s="385"/>
    </row>
    <row r="7" spans="2:31" ht="15.75" hidden="1" outlineLevel="1">
      <c r="B7" s="386">
        <v>2016</v>
      </c>
      <c r="C7" s="387" t="s">
        <v>147</v>
      </c>
      <c r="D7" s="388">
        <v>31</v>
      </c>
      <c r="E7" s="389"/>
      <c r="F7" s="686">
        <v>314.24</v>
      </c>
      <c r="G7" s="686"/>
      <c r="H7" s="686"/>
      <c r="I7" s="686"/>
      <c r="J7" s="389"/>
      <c r="K7" s="390"/>
      <c r="L7" s="390"/>
      <c r="M7" s="390"/>
      <c r="N7" s="390"/>
      <c r="O7" s="390"/>
      <c r="P7" s="389"/>
      <c r="Q7" s="391"/>
      <c r="R7" s="392"/>
      <c r="S7" s="392"/>
      <c r="T7" s="394"/>
      <c r="U7" s="394"/>
      <c r="V7" s="389"/>
      <c r="W7" s="671"/>
      <c r="X7" s="716"/>
      <c r="Y7" s="716"/>
      <c r="Z7" s="749"/>
      <c r="AB7" s="696"/>
      <c r="AC7" s="744"/>
      <c r="AD7" s="744"/>
      <c r="AE7" s="746"/>
    </row>
    <row r="8" spans="3:31" ht="15" hidden="1" outlineLevel="1">
      <c r="C8" s="387" t="s">
        <v>148</v>
      </c>
      <c r="D8" s="388">
        <v>29</v>
      </c>
      <c r="E8" s="384"/>
      <c r="F8" s="687"/>
      <c r="G8" s="687"/>
      <c r="H8" s="687"/>
      <c r="I8" s="687"/>
      <c r="J8" s="384"/>
      <c r="K8" s="390"/>
      <c r="L8" s="390"/>
      <c r="M8" s="390"/>
      <c r="N8" s="390"/>
      <c r="O8" s="390"/>
      <c r="P8" s="384"/>
      <c r="Q8" s="391"/>
      <c r="R8" s="392"/>
      <c r="S8" s="392"/>
      <c r="T8" s="394"/>
      <c r="U8" s="394"/>
      <c r="V8" s="384"/>
      <c r="W8" s="672"/>
      <c r="X8" s="689"/>
      <c r="Y8" s="689"/>
      <c r="Z8" s="750"/>
      <c r="AB8" s="697"/>
      <c r="AC8" s="707"/>
      <c r="AD8" s="707"/>
      <c r="AE8" s="747"/>
    </row>
    <row r="9" spans="3:31" ht="15" hidden="1" outlineLevel="1">
      <c r="C9" s="387" t="s">
        <v>149</v>
      </c>
      <c r="D9" s="388">
        <v>31</v>
      </c>
      <c r="E9" s="384"/>
      <c r="F9" s="687"/>
      <c r="G9" s="687"/>
      <c r="H9" s="687"/>
      <c r="I9" s="687"/>
      <c r="J9" s="384"/>
      <c r="K9" s="390"/>
      <c r="L9" s="390"/>
      <c r="M9" s="390"/>
      <c r="N9" s="390"/>
      <c r="O9" s="390"/>
      <c r="P9" s="384"/>
      <c r="Q9" s="391"/>
      <c r="R9" s="392"/>
      <c r="S9" s="392"/>
      <c r="T9" s="394"/>
      <c r="U9" s="394"/>
      <c r="V9" s="384"/>
      <c r="W9" s="672"/>
      <c r="X9" s="689"/>
      <c r="Y9" s="689"/>
      <c r="Z9" s="750"/>
      <c r="AB9" s="697"/>
      <c r="AC9" s="707"/>
      <c r="AD9" s="707"/>
      <c r="AE9" s="747"/>
    </row>
    <row r="10" spans="3:31" ht="15" hidden="1" outlineLevel="1">
      <c r="C10" s="387" t="s">
        <v>150</v>
      </c>
      <c r="D10" s="388">
        <v>30</v>
      </c>
      <c r="E10" s="384"/>
      <c r="F10" s="687"/>
      <c r="G10" s="687"/>
      <c r="H10" s="687"/>
      <c r="I10" s="687"/>
      <c r="J10" s="384"/>
      <c r="K10" s="390"/>
      <c r="L10" s="390"/>
      <c r="M10" s="390"/>
      <c r="N10" s="390"/>
      <c r="O10" s="390"/>
      <c r="P10" s="384"/>
      <c r="Q10" s="391"/>
      <c r="R10" s="392"/>
      <c r="S10" s="392"/>
      <c r="T10" s="394"/>
      <c r="U10" s="394"/>
      <c r="V10" s="384"/>
      <c r="W10" s="672"/>
      <c r="X10" s="689"/>
      <c r="Y10" s="689"/>
      <c r="Z10" s="750"/>
      <c r="AB10" s="697"/>
      <c r="AC10" s="707"/>
      <c r="AD10" s="707"/>
      <c r="AE10" s="747"/>
    </row>
    <row r="11" spans="3:31" ht="15" hidden="1" outlineLevel="1">
      <c r="C11" s="387" t="s">
        <v>151</v>
      </c>
      <c r="D11" s="388">
        <v>31</v>
      </c>
      <c r="E11" s="384"/>
      <c r="F11" s="687"/>
      <c r="G11" s="687"/>
      <c r="H11" s="687"/>
      <c r="I11" s="687"/>
      <c r="J11" s="384"/>
      <c r="K11" s="390"/>
      <c r="L11" s="390"/>
      <c r="M11" s="390"/>
      <c r="N11" s="390"/>
      <c r="O11" s="390"/>
      <c r="P11" s="384"/>
      <c r="Q11" s="391"/>
      <c r="R11" s="392"/>
      <c r="S11" s="392"/>
      <c r="T11" s="394"/>
      <c r="U11" s="394"/>
      <c r="V11" s="384"/>
      <c r="W11" s="672"/>
      <c r="X11" s="689"/>
      <c r="Y11" s="689"/>
      <c r="Z11" s="750"/>
      <c r="AB11" s="697"/>
      <c r="AC11" s="707"/>
      <c r="AD11" s="707"/>
      <c r="AE11" s="747"/>
    </row>
    <row r="12" spans="3:31" ht="15" hidden="1" outlineLevel="1">
      <c r="C12" s="387" t="s">
        <v>152</v>
      </c>
      <c r="D12" s="388">
        <v>30</v>
      </c>
      <c r="E12" s="384"/>
      <c r="F12" s="687"/>
      <c r="G12" s="687"/>
      <c r="H12" s="687"/>
      <c r="I12" s="687"/>
      <c r="J12" s="384"/>
      <c r="K12" s="390"/>
      <c r="L12" s="390"/>
      <c r="M12" s="390"/>
      <c r="N12" s="390"/>
      <c r="O12" s="390"/>
      <c r="P12" s="384"/>
      <c r="Q12" s="391"/>
      <c r="R12" s="392"/>
      <c r="S12" s="392"/>
      <c r="T12" s="394"/>
      <c r="U12" s="394"/>
      <c r="V12" s="384"/>
      <c r="W12" s="672"/>
      <c r="X12" s="689"/>
      <c r="Y12" s="689"/>
      <c r="Z12" s="750"/>
      <c r="AB12" s="697"/>
      <c r="AC12" s="707"/>
      <c r="AD12" s="707"/>
      <c r="AE12" s="747"/>
    </row>
    <row r="13" spans="3:31" ht="15" hidden="1" outlineLevel="1">
      <c r="C13" s="387" t="s">
        <v>153</v>
      </c>
      <c r="D13" s="388">
        <v>31</v>
      </c>
      <c r="E13" s="384"/>
      <c r="F13" s="687"/>
      <c r="G13" s="687"/>
      <c r="H13" s="687"/>
      <c r="I13" s="687"/>
      <c r="J13" s="384"/>
      <c r="K13" s="390"/>
      <c r="L13" s="390"/>
      <c r="M13" s="390"/>
      <c r="N13" s="390"/>
      <c r="O13" s="390"/>
      <c r="P13" s="384"/>
      <c r="Q13" s="391"/>
      <c r="R13" s="392"/>
      <c r="S13" s="392"/>
      <c r="T13" s="394"/>
      <c r="U13" s="394"/>
      <c r="V13" s="384"/>
      <c r="W13" s="672"/>
      <c r="X13" s="689"/>
      <c r="Y13" s="689"/>
      <c r="Z13" s="750"/>
      <c r="AB13" s="697"/>
      <c r="AC13" s="707"/>
      <c r="AD13" s="707"/>
      <c r="AE13" s="747"/>
    </row>
    <row r="14" spans="3:31" ht="15" hidden="1" outlineLevel="1">
      <c r="C14" s="387" t="s">
        <v>154</v>
      </c>
      <c r="D14" s="388">
        <v>31</v>
      </c>
      <c r="E14" s="384"/>
      <c r="F14" s="687"/>
      <c r="G14" s="687"/>
      <c r="H14" s="687"/>
      <c r="I14" s="687"/>
      <c r="J14" s="384"/>
      <c r="K14" s="390"/>
      <c r="L14" s="390"/>
      <c r="M14" s="390"/>
      <c r="N14" s="390"/>
      <c r="O14" s="390"/>
      <c r="P14" s="384"/>
      <c r="Q14" s="391"/>
      <c r="R14" s="392"/>
      <c r="S14" s="392"/>
      <c r="T14" s="394"/>
      <c r="U14" s="394"/>
      <c r="V14" s="384"/>
      <c r="W14" s="672"/>
      <c r="X14" s="689"/>
      <c r="Y14" s="689"/>
      <c r="Z14" s="750"/>
      <c r="AB14" s="697"/>
      <c r="AC14" s="707"/>
      <c r="AD14" s="707"/>
      <c r="AE14" s="747"/>
    </row>
    <row r="15" spans="3:31" ht="15" hidden="1" outlineLevel="1">
      <c r="C15" s="387" t="s">
        <v>155</v>
      </c>
      <c r="D15" s="388">
        <v>30</v>
      </c>
      <c r="E15" s="384"/>
      <c r="F15" s="687"/>
      <c r="G15" s="687"/>
      <c r="H15" s="687"/>
      <c r="I15" s="687"/>
      <c r="J15" s="384"/>
      <c r="K15" s="390"/>
      <c r="L15" s="390"/>
      <c r="M15" s="390"/>
      <c r="N15" s="390"/>
      <c r="O15" s="390"/>
      <c r="P15" s="384"/>
      <c r="Q15" s="391"/>
      <c r="R15" s="392"/>
      <c r="S15" s="392"/>
      <c r="T15" s="394"/>
      <c r="U15" s="394"/>
      <c r="V15" s="384"/>
      <c r="W15" s="672"/>
      <c r="X15" s="689"/>
      <c r="Y15" s="689"/>
      <c r="Z15" s="750"/>
      <c r="AB15" s="697"/>
      <c r="AC15" s="707"/>
      <c r="AD15" s="707"/>
      <c r="AE15" s="747"/>
    </row>
    <row r="16" spans="3:31" ht="15" hidden="1" outlineLevel="1">
      <c r="C16" s="387" t="s">
        <v>156</v>
      </c>
      <c r="D16" s="388">
        <v>31</v>
      </c>
      <c r="E16" s="384"/>
      <c r="F16" s="687"/>
      <c r="G16" s="687"/>
      <c r="H16" s="687"/>
      <c r="I16" s="687"/>
      <c r="J16" s="384"/>
      <c r="K16" s="390"/>
      <c r="L16" s="390"/>
      <c r="M16" s="390"/>
      <c r="N16" s="390"/>
      <c r="O16" s="390"/>
      <c r="P16" s="384"/>
      <c r="Q16" s="391"/>
      <c r="R16" s="392"/>
      <c r="S16" s="392"/>
      <c r="T16" s="394"/>
      <c r="U16" s="394"/>
      <c r="V16" s="384"/>
      <c r="W16" s="673"/>
      <c r="X16" s="690"/>
      <c r="Y16" s="690"/>
      <c r="Z16" s="751"/>
      <c r="AB16" s="698"/>
      <c r="AC16" s="745"/>
      <c r="AD16" s="745"/>
      <c r="AE16" s="748"/>
    </row>
    <row r="17" spans="3:31" ht="15" hidden="1" outlineLevel="1">
      <c r="C17" s="387" t="s">
        <v>157</v>
      </c>
      <c r="D17" s="388">
        <v>30</v>
      </c>
      <c r="E17" s="384"/>
      <c r="F17" s="687"/>
      <c r="G17" s="687"/>
      <c r="H17" s="687"/>
      <c r="I17" s="687"/>
      <c r="J17" s="384"/>
      <c r="K17" s="390"/>
      <c r="L17" s="390"/>
      <c r="M17" s="390"/>
      <c r="N17" s="390"/>
      <c r="O17" s="390"/>
      <c r="P17" s="384"/>
      <c r="Q17" s="391"/>
      <c r="R17" s="392"/>
      <c r="S17" s="392"/>
      <c r="T17" s="394"/>
      <c r="U17" s="394"/>
      <c r="V17" s="384"/>
      <c r="W17" s="686">
        <v>39</v>
      </c>
      <c r="X17" s="688">
        <v>43.2</v>
      </c>
      <c r="Y17" s="688">
        <v>42.02</v>
      </c>
      <c r="Z17" s="736">
        <f>1.15*W17*(X17+Y17)</f>
        <v>3822.1169999999993</v>
      </c>
      <c r="AB17" s="704">
        <v>0</v>
      </c>
      <c r="AC17" s="706">
        <v>0</v>
      </c>
      <c r="AD17" s="706">
        <v>42.02</v>
      </c>
      <c r="AE17" s="742">
        <f>1.15*AD17*13.377</f>
        <v>646.416771</v>
      </c>
    </row>
    <row r="18" spans="3:31" ht="15" hidden="1" outlineLevel="1">
      <c r="C18" s="387" t="s">
        <v>158</v>
      </c>
      <c r="D18" s="388">
        <v>31</v>
      </c>
      <c r="E18" s="384"/>
      <c r="F18" s="727"/>
      <c r="G18" s="727"/>
      <c r="H18" s="727"/>
      <c r="I18" s="727"/>
      <c r="J18" s="384"/>
      <c r="K18" s="390"/>
      <c r="L18" s="390"/>
      <c r="M18" s="390"/>
      <c r="N18" s="390"/>
      <c r="O18" s="390"/>
      <c r="P18" s="384"/>
      <c r="Q18" s="391"/>
      <c r="R18" s="392"/>
      <c r="S18" s="392"/>
      <c r="T18" s="394"/>
      <c r="U18" s="394"/>
      <c r="V18" s="384"/>
      <c r="W18" s="687"/>
      <c r="X18" s="711"/>
      <c r="Y18" s="711"/>
      <c r="Z18" s="741"/>
      <c r="AB18" s="705"/>
      <c r="AC18" s="712"/>
      <c r="AD18" s="712"/>
      <c r="AE18" s="743"/>
    </row>
    <row r="19" spans="2:31" ht="15.75" hidden="1" outlineLevel="1">
      <c r="B19" s="395"/>
      <c r="C19" s="396"/>
      <c r="E19" s="397"/>
      <c r="F19" s="452">
        <f>SUM(F7:F18)</f>
        <v>314.24</v>
      </c>
      <c r="G19" s="404"/>
      <c r="H19" s="452">
        <f>SUM(H7)</f>
        <v>0</v>
      </c>
      <c r="I19" s="398"/>
      <c r="J19" s="397"/>
      <c r="K19" s="419">
        <f>SUM(K7:K18)</f>
        <v>0</v>
      </c>
      <c r="L19" s="361"/>
      <c r="M19" s="361"/>
      <c r="N19" s="419">
        <f>SUM(N7:N18)</f>
        <v>0</v>
      </c>
      <c r="O19" s="399"/>
      <c r="P19" s="397"/>
      <c r="Q19" s="419">
        <f>SUM(Q7:Q18)</f>
        <v>0</v>
      </c>
      <c r="R19" s="419">
        <f>SUM(R7:R18)</f>
        <v>0</v>
      </c>
      <c r="T19" s="419">
        <f>SUM(T7:T18)</f>
        <v>0</v>
      </c>
      <c r="U19" s="419">
        <f>SUM(U7:U18)</f>
        <v>0</v>
      </c>
      <c r="V19" s="397"/>
      <c r="W19" s="419">
        <f>SUM(W7:W18)</f>
        <v>39</v>
      </c>
      <c r="X19" s="361"/>
      <c r="Y19" s="361"/>
      <c r="Z19" s="469">
        <f>SUM(Z7:Z18)</f>
        <v>3822.1169999999993</v>
      </c>
      <c r="AB19" s="425">
        <f>SUM(AB7:AB18)</f>
        <v>0</v>
      </c>
      <c r="AC19" s="470"/>
      <c r="AD19" s="470"/>
      <c r="AE19" s="471">
        <f>SUM(AE7:AE18)</f>
        <v>646.416771</v>
      </c>
    </row>
    <row r="20" spans="5:31" ht="20.1" customHeight="1" hidden="1" outlineLevel="1">
      <c r="E20" s="408"/>
      <c r="F20" s="363"/>
      <c r="G20" s="409"/>
      <c r="H20" s="409"/>
      <c r="I20" s="409"/>
      <c r="J20" s="408"/>
      <c r="M20" s="410"/>
      <c r="N20" s="410"/>
      <c r="O20" s="410"/>
      <c r="P20" s="408"/>
      <c r="Q20" s="411"/>
      <c r="R20" s="411"/>
      <c r="S20" s="411"/>
      <c r="T20" s="410"/>
      <c r="U20" s="410"/>
      <c r="V20" s="408"/>
      <c r="W20" s="409"/>
      <c r="X20" s="413"/>
      <c r="Y20" s="413"/>
      <c r="Z20" s="457"/>
      <c r="AB20" s="415"/>
      <c r="AC20" s="416"/>
      <c r="AD20" s="416"/>
      <c r="AE20" s="458"/>
    </row>
    <row r="21" spans="2:31" ht="15.75" collapsed="1">
      <c r="B21" s="386">
        <f>B7+1</f>
        <v>2017</v>
      </c>
      <c r="C21" s="387" t="s">
        <v>147</v>
      </c>
      <c r="D21" s="388">
        <v>31</v>
      </c>
      <c r="E21" s="389"/>
      <c r="F21" s="686">
        <v>342.57</v>
      </c>
      <c r="G21" s="686">
        <f>143571.09-14905.22</f>
        <v>128665.87</v>
      </c>
      <c r="H21" s="686">
        <f>G21*1.15</f>
        <v>147965.7505</v>
      </c>
      <c r="I21" s="686">
        <f>H21/F21</f>
        <v>431.9285124208191</v>
      </c>
      <c r="J21" s="389"/>
      <c r="K21" s="686"/>
      <c r="L21" s="686"/>
      <c r="M21" s="686"/>
      <c r="N21" s="686"/>
      <c r="O21" s="686"/>
      <c r="P21" s="389"/>
      <c r="Q21" s="771">
        <v>9674</v>
      </c>
      <c r="R21" s="771">
        <v>2082</v>
      </c>
      <c r="S21" s="771">
        <f>Q21+R21</f>
        <v>11756</v>
      </c>
      <c r="T21" s="761">
        <f>42351.68</f>
        <v>42351.68</v>
      </c>
      <c r="U21" s="761">
        <f>T21*1.21</f>
        <v>51245.5328</v>
      </c>
      <c r="V21" s="389"/>
      <c r="W21" s="671">
        <v>164</v>
      </c>
      <c r="X21" s="716">
        <v>43.46</v>
      </c>
      <c r="Y21" s="716">
        <v>42.02</v>
      </c>
      <c r="Z21" s="749">
        <f>1.15*W21*(X21+Y21)</f>
        <v>16121.528</v>
      </c>
      <c r="AB21" s="696">
        <v>0</v>
      </c>
      <c r="AC21" s="744">
        <v>0</v>
      </c>
      <c r="AD21" s="744">
        <v>42.02</v>
      </c>
      <c r="AE21" s="746">
        <f>1.15*AD21*252.493</f>
        <v>12201.219239</v>
      </c>
    </row>
    <row r="22" spans="3:31" ht="15">
      <c r="C22" s="387" t="s">
        <v>148</v>
      </c>
      <c r="D22" s="388">
        <v>28</v>
      </c>
      <c r="E22" s="384"/>
      <c r="F22" s="687"/>
      <c r="G22" s="687"/>
      <c r="H22" s="687"/>
      <c r="I22" s="687"/>
      <c r="J22" s="384"/>
      <c r="K22" s="687"/>
      <c r="L22" s="687"/>
      <c r="M22" s="687"/>
      <c r="N22" s="687"/>
      <c r="O22" s="687"/>
      <c r="P22" s="384"/>
      <c r="Q22" s="771"/>
      <c r="R22" s="771"/>
      <c r="S22" s="771"/>
      <c r="T22" s="761"/>
      <c r="U22" s="761"/>
      <c r="V22" s="384"/>
      <c r="W22" s="672"/>
      <c r="X22" s="689"/>
      <c r="Y22" s="689"/>
      <c r="Z22" s="750"/>
      <c r="AB22" s="697"/>
      <c r="AC22" s="707"/>
      <c r="AD22" s="707"/>
      <c r="AE22" s="747"/>
    </row>
    <row r="23" spans="3:31" ht="15">
      <c r="C23" s="387" t="s">
        <v>149</v>
      </c>
      <c r="D23" s="388">
        <v>31</v>
      </c>
      <c r="E23" s="384"/>
      <c r="F23" s="687"/>
      <c r="G23" s="687"/>
      <c r="H23" s="687"/>
      <c r="I23" s="687"/>
      <c r="J23" s="384"/>
      <c r="K23" s="687"/>
      <c r="L23" s="687"/>
      <c r="M23" s="687"/>
      <c r="N23" s="687"/>
      <c r="O23" s="687"/>
      <c r="P23" s="384"/>
      <c r="Q23" s="771"/>
      <c r="R23" s="771"/>
      <c r="S23" s="771"/>
      <c r="T23" s="761"/>
      <c r="U23" s="761"/>
      <c r="V23" s="384"/>
      <c r="W23" s="672"/>
      <c r="X23" s="689"/>
      <c r="Y23" s="689"/>
      <c r="Z23" s="750"/>
      <c r="AB23" s="697"/>
      <c r="AC23" s="707"/>
      <c r="AD23" s="707"/>
      <c r="AE23" s="747"/>
    </row>
    <row r="24" spans="3:31" ht="15">
      <c r="C24" s="387" t="s">
        <v>150</v>
      </c>
      <c r="D24" s="388">
        <v>30</v>
      </c>
      <c r="E24" s="384"/>
      <c r="F24" s="687"/>
      <c r="G24" s="687"/>
      <c r="H24" s="687"/>
      <c r="I24" s="687"/>
      <c r="J24" s="384"/>
      <c r="K24" s="687"/>
      <c r="L24" s="687"/>
      <c r="M24" s="687"/>
      <c r="N24" s="687"/>
      <c r="O24" s="687"/>
      <c r="P24" s="384"/>
      <c r="Q24" s="771"/>
      <c r="R24" s="771"/>
      <c r="S24" s="771"/>
      <c r="T24" s="761"/>
      <c r="U24" s="761"/>
      <c r="V24" s="384"/>
      <c r="W24" s="672"/>
      <c r="X24" s="689"/>
      <c r="Y24" s="689"/>
      <c r="Z24" s="750"/>
      <c r="AB24" s="697"/>
      <c r="AC24" s="707"/>
      <c r="AD24" s="707"/>
      <c r="AE24" s="747"/>
    </row>
    <row r="25" spans="3:31" ht="15">
      <c r="C25" s="387" t="s">
        <v>151</v>
      </c>
      <c r="D25" s="388">
        <v>31</v>
      </c>
      <c r="E25" s="384"/>
      <c r="F25" s="687"/>
      <c r="G25" s="687"/>
      <c r="H25" s="687"/>
      <c r="I25" s="687"/>
      <c r="J25" s="384"/>
      <c r="K25" s="687"/>
      <c r="L25" s="687"/>
      <c r="M25" s="687"/>
      <c r="N25" s="687"/>
      <c r="O25" s="687"/>
      <c r="P25" s="384"/>
      <c r="Q25" s="771"/>
      <c r="R25" s="771"/>
      <c r="S25" s="771"/>
      <c r="T25" s="761"/>
      <c r="U25" s="761"/>
      <c r="V25" s="384"/>
      <c r="W25" s="672"/>
      <c r="X25" s="689"/>
      <c r="Y25" s="689"/>
      <c r="Z25" s="750"/>
      <c r="AB25" s="697"/>
      <c r="AC25" s="707"/>
      <c r="AD25" s="707"/>
      <c r="AE25" s="747"/>
    </row>
    <row r="26" spans="3:31" ht="15">
      <c r="C26" s="387" t="s">
        <v>152</v>
      </c>
      <c r="D26" s="388">
        <v>30</v>
      </c>
      <c r="E26" s="384"/>
      <c r="F26" s="687"/>
      <c r="G26" s="687"/>
      <c r="H26" s="687"/>
      <c r="I26" s="687"/>
      <c r="J26" s="384"/>
      <c r="K26" s="687"/>
      <c r="L26" s="687"/>
      <c r="M26" s="687"/>
      <c r="N26" s="687"/>
      <c r="O26" s="687"/>
      <c r="P26" s="384"/>
      <c r="Q26" s="771"/>
      <c r="R26" s="771"/>
      <c r="S26" s="771"/>
      <c r="T26" s="761"/>
      <c r="U26" s="761"/>
      <c r="V26" s="384"/>
      <c r="W26" s="672"/>
      <c r="X26" s="689"/>
      <c r="Y26" s="689"/>
      <c r="Z26" s="750"/>
      <c r="AB26" s="697"/>
      <c r="AC26" s="707"/>
      <c r="AD26" s="707"/>
      <c r="AE26" s="747"/>
    </row>
    <row r="27" spans="3:31" ht="15">
      <c r="C27" s="387" t="s">
        <v>153</v>
      </c>
      <c r="D27" s="388">
        <v>31</v>
      </c>
      <c r="E27" s="384"/>
      <c r="F27" s="687"/>
      <c r="G27" s="687"/>
      <c r="H27" s="687"/>
      <c r="I27" s="687"/>
      <c r="J27" s="384"/>
      <c r="K27" s="687"/>
      <c r="L27" s="687"/>
      <c r="M27" s="687"/>
      <c r="N27" s="687"/>
      <c r="O27" s="687"/>
      <c r="P27" s="384"/>
      <c r="Q27" s="771"/>
      <c r="R27" s="771"/>
      <c r="S27" s="771"/>
      <c r="T27" s="761"/>
      <c r="U27" s="761"/>
      <c r="V27" s="384"/>
      <c r="W27" s="672"/>
      <c r="X27" s="689"/>
      <c r="Y27" s="689"/>
      <c r="Z27" s="750"/>
      <c r="AB27" s="697"/>
      <c r="AC27" s="707"/>
      <c r="AD27" s="707"/>
      <c r="AE27" s="747"/>
    </row>
    <row r="28" spans="3:31" ht="15">
      <c r="C28" s="387" t="s">
        <v>154</v>
      </c>
      <c r="D28" s="388">
        <v>31</v>
      </c>
      <c r="E28" s="384"/>
      <c r="F28" s="687"/>
      <c r="G28" s="687"/>
      <c r="H28" s="687"/>
      <c r="I28" s="687"/>
      <c r="J28" s="384"/>
      <c r="K28" s="687"/>
      <c r="L28" s="687"/>
      <c r="M28" s="687"/>
      <c r="N28" s="687"/>
      <c r="O28" s="687"/>
      <c r="P28" s="384"/>
      <c r="Q28" s="771"/>
      <c r="R28" s="771"/>
      <c r="S28" s="771"/>
      <c r="T28" s="761"/>
      <c r="U28" s="761"/>
      <c r="V28" s="384"/>
      <c r="W28" s="672"/>
      <c r="X28" s="689"/>
      <c r="Y28" s="689"/>
      <c r="Z28" s="750"/>
      <c r="AB28" s="697"/>
      <c r="AC28" s="707"/>
      <c r="AD28" s="707"/>
      <c r="AE28" s="747"/>
    </row>
    <row r="29" spans="3:31" ht="15">
      <c r="C29" s="387" t="s">
        <v>155</v>
      </c>
      <c r="D29" s="388">
        <v>30</v>
      </c>
      <c r="E29" s="384"/>
      <c r="F29" s="687"/>
      <c r="G29" s="687"/>
      <c r="H29" s="687"/>
      <c r="I29" s="687"/>
      <c r="J29" s="384"/>
      <c r="K29" s="687"/>
      <c r="L29" s="687"/>
      <c r="M29" s="687"/>
      <c r="N29" s="687"/>
      <c r="O29" s="687"/>
      <c r="P29" s="384"/>
      <c r="Q29" s="771"/>
      <c r="R29" s="771"/>
      <c r="S29" s="771"/>
      <c r="T29" s="761"/>
      <c r="U29" s="761"/>
      <c r="V29" s="384"/>
      <c r="W29" s="672"/>
      <c r="X29" s="689"/>
      <c r="Y29" s="689"/>
      <c r="Z29" s="750"/>
      <c r="AB29" s="697"/>
      <c r="AC29" s="707"/>
      <c r="AD29" s="707"/>
      <c r="AE29" s="747"/>
    </row>
    <row r="30" spans="3:31" ht="15">
      <c r="C30" s="387" t="s">
        <v>156</v>
      </c>
      <c r="D30" s="388">
        <v>31</v>
      </c>
      <c r="E30" s="384"/>
      <c r="F30" s="687"/>
      <c r="G30" s="687"/>
      <c r="H30" s="687"/>
      <c r="I30" s="687"/>
      <c r="J30" s="384"/>
      <c r="K30" s="687"/>
      <c r="L30" s="687"/>
      <c r="M30" s="687"/>
      <c r="N30" s="687"/>
      <c r="O30" s="687"/>
      <c r="P30" s="384"/>
      <c r="Q30" s="771"/>
      <c r="R30" s="771"/>
      <c r="S30" s="771"/>
      <c r="T30" s="761"/>
      <c r="U30" s="761"/>
      <c r="V30" s="384"/>
      <c r="W30" s="673"/>
      <c r="X30" s="690"/>
      <c r="Y30" s="690"/>
      <c r="Z30" s="751"/>
      <c r="AB30" s="698"/>
      <c r="AC30" s="745"/>
      <c r="AD30" s="745"/>
      <c r="AE30" s="748"/>
    </row>
    <row r="31" spans="3:31" ht="15">
      <c r="C31" s="387" t="s">
        <v>157</v>
      </c>
      <c r="D31" s="388">
        <v>30</v>
      </c>
      <c r="E31" s="384"/>
      <c r="F31" s="687"/>
      <c r="G31" s="687"/>
      <c r="H31" s="687"/>
      <c r="I31" s="687"/>
      <c r="J31" s="384"/>
      <c r="K31" s="687"/>
      <c r="L31" s="687"/>
      <c r="M31" s="687"/>
      <c r="N31" s="687"/>
      <c r="O31" s="687"/>
      <c r="P31" s="384"/>
      <c r="Q31" s="771"/>
      <c r="R31" s="771"/>
      <c r="S31" s="771"/>
      <c r="T31" s="761"/>
      <c r="U31" s="761"/>
      <c r="V31" s="384"/>
      <c r="W31" s="686">
        <v>21</v>
      </c>
      <c r="X31" s="688">
        <v>43.46</v>
      </c>
      <c r="Y31" s="688">
        <v>42.02</v>
      </c>
      <c r="Z31" s="736">
        <f>1.15*W31*(X31+Y31)</f>
        <v>2064.342</v>
      </c>
      <c r="AB31" s="704">
        <v>0</v>
      </c>
      <c r="AC31" s="706">
        <v>0</v>
      </c>
      <c r="AD31" s="706">
        <v>42.02</v>
      </c>
      <c r="AE31" s="742">
        <f>1.15*AD31*35.507</f>
        <v>1715.8047609999999</v>
      </c>
    </row>
    <row r="32" spans="3:31" ht="15">
      <c r="C32" s="387" t="s">
        <v>158</v>
      </c>
      <c r="D32" s="388">
        <v>31</v>
      </c>
      <c r="E32" s="384"/>
      <c r="F32" s="727"/>
      <c r="G32" s="727"/>
      <c r="H32" s="727"/>
      <c r="I32" s="727"/>
      <c r="J32" s="384"/>
      <c r="K32" s="727"/>
      <c r="L32" s="727"/>
      <c r="M32" s="727"/>
      <c r="N32" s="727"/>
      <c r="O32" s="727"/>
      <c r="P32" s="384"/>
      <c r="Q32" s="771"/>
      <c r="R32" s="771"/>
      <c r="S32" s="771"/>
      <c r="T32" s="761"/>
      <c r="U32" s="761"/>
      <c r="V32" s="384"/>
      <c r="W32" s="687"/>
      <c r="X32" s="711"/>
      <c r="Y32" s="711"/>
      <c r="Z32" s="741"/>
      <c r="AB32" s="705"/>
      <c r="AC32" s="712"/>
      <c r="AD32" s="712"/>
      <c r="AE32" s="743"/>
    </row>
    <row r="33" spans="2:31" ht="15.75">
      <c r="B33" s="395"/>
      <c r="C33" s="396"/>
      <c r="E33" s="397"/>
      <c r="F33" s="452">
        <f>SUM(F21:F32)</f>
        <v>342.57</v>
      </c>
      <c r="G33" s="404"/>
      <c r="H33" s="452">
        <f>SUM(H21)</f>
        <v>147965.7505</v>
      </c>
      <c r="K33" s="419">
        <f>SUM(K21:K32)</f>
        <v>0</v>
      </c>
      <c r="L33" s="361"/>
      <c r="M33" s="361"/>
      <c r="N33" s="419">
        <f>SUM(N21:N32)</f>
        <v>0</v>
      </c>
      <c r="O33" s="399"/>
      <c r="P33" s="397"/>
      <c r="Q33" s="419">
        <f>SUM(Q21:Q32)</f>
        <v>9674</v>
      </c>
      <c r="R33" s="419">
        <f>SUM(R21:R32)</f>
        <v>2082</v>
      </c>
      <c r="S33" s="419">
        <f>SUM(S21:S32)</f>
        <v>11756</v>
      </c>
      <c r="T33" s="419">
        <f>SUM(T21:T32)</f>
        <v>42351.68</v>
      </c>
      <c r="U33" s="419">
        <f>SUM(U21:U32)</f>
        <v>51245.5328</v>
      </c>
      <c r="V33" s="397"/>
      <c r="W33" s="419">
        <f>SUM(W21:W32)</f>
        <v>185</v>
      </c>
      <c r="X33" s="361"/>
      <c r="Y33" s="361"/>
      <c r="Z33" s="469">
        <f>SUM(Z21:Z32)</f>
        <v>18185.87</v>
      </c>
      <c r="AB33" s="425">
        <f>SUM(AB21:AB32)</f>
        <v>0</v>
      </c>
      <c r="AC33" s="470"/>
      <c r="AD33" s="470"/>
      <c r="AE33" s="471">
        <f>SUM(AE21:AE32)</f>
        <v>13917.024</v>
      </c>
    </row>
    <row r="34" spans="2:31" ht="15.75" customHeight="1" outlineLevel="1">
      <c r="B34" s="395"/>
      <c r="C34" s="396"/>
      <c r="E34" s="397"/>
      <c r="F34" s="403"/>
      <c r="G34" s="427"/>
      <c r="H34" s="427"/>
      <c r="I34" s="427"/>
      <c r="J34" s="397"/>
      <c r="K34" s="403"/>
      <c r="L34" s="397"/>
      <c r="M34" s="402"/>
      <c r="N34" s="402"/>
      <c r="O34" s="402"/>
      <c r="P34" s="397"/>
      <c r="Q34" s="453"/>
      <c r="R34" s="453"/>
      <c r="S34" s="453"/>
      <c r="T34" s="402"/>
      <c r="U34" s="402"/>
      <c r="V34" s="397"/>
      <c r="W34" s="409"/>
      <c r="X34" s="413"/>
      <c r="Y34" s="413"/>
      <c r="Z34" s="457"/>
      <c r="AB34" s="415"/>
      <c r="AC34" s="416"/>
      <c r="AD34" s="416"/>
      <c r="AE34" s="458"/>
    </row>
    <row r="35" spans="2:31" ht="15.75" customHeight="1" outlineLevel="1">
      <c r="B35" s="386">
        <f>B21+1</f>
        <v>2018</v>
      </c>
      <c r="C35" s="387" t="s">
        <v>147</v>
      </c>
      <c r="D35" s="388">
        <v>31</v>
      </c>
      <c r="E35" s="389"/>
      <c r="F35" s="686">
        <v>315</v>
      </c>
      <c r="G35" s="686">
        <f>137440.8-7730.1</f>
        <v>129710.69999999998</v>
      </c>
      <c r="H35" s="686">
        <f>G35*1.15</f>
        <v>149167.30499999996</v>
      </c>
      <c r="I35" s="686">
        <f>H35/F35</f>
        <v>473.5469999999999</v>
      </c>
      <c r="J35" s="389"/>
      <c r="K35" s="686"/>
      <c r="L35" s="686"/>
      <c r="M35" s="686"/>
      <c r="N35" s="686"/>
      <c r="O35" s="686"/>
      <c r="P35" s="389"/>
      <c r="Q35" s="772" t="s">
        <v>212</v>
      </c>
      <c r="R35" s="771"/>
      <c r="S35" s="771"/>
      <c r="T35" s="761"/>
      <c r="U35" s="761"/>
      <c r="V35" s="389"/>
      <c r="W35" s="671">
        <v>153</v>
      </c>
      <c r="X35" s="716">
        <v>43.46</v>
      </c>
      <c r="Y35" s="716">
        <v>42.34</v>
      </c>
      <c r="Z35" s="749">
        <f>1.15*W35*(X35+Y35)</f>
        <v>15096.51</v>
      </c>
      <c r="AB35" s="696">
        <v>0</v>
      </c>
      <c r="AC35" s="744">
        <v>0</v>
      </c>
      <c r="AD35" s="744">
        <v>42.34</v>
      </c>
      <c r="AE35" s="746">
        <f>1.15*AD35*258.016</f>
        <v>12563.057056000001</v>
      </c>
    </row>
    <row r="36" spans="3:31" ht="15" customHeight="1" outlineLevel="1">
      <c r="C36" s="387" t="s">
        <v>148</v>
      </c>
      <c r="D36" s="388">
        <v>28</v>
      </c>
      <c r="E36" s="384"/>
      <c r="F36" s="687"/>
      <c r="G36" s="687"/>
      <c r="H36" s="687"/>
      <c r="I36" s="687"/>
      <c r="J36" s="384"/>
      <c r="K36" s="687"/>
      <c r="L36" s="687"/>
      <c r="M36" s="687"/>
      <c r="N36" s="687"/>
      <c r="O36" s="687"/>
      <c r="P36" s="384"/>
      <c r="Q36" s="772"/>
      <c r="R36" s="771"/>
      <c r="S36" s="771"/>
      <c r="T36" s="761"/>
      <c r="U36" s="761"/>
      <c r="V36" s="384"/>
      <c r="W36" s="672"/>
      <c r="X36" s="689"/>
      <c r="Y36" s="689"/>
      <c r="Z36" s="750"/>
      <c r="AB36" s="697"/>
      <c r="AC36" s="707"/>
      <c r="AD36" s="707"/>
      <c r="AE36" s="747"/>
    </row>
    <row r="37" spans="3:31" ht="15" customHeight="1" outlineLevel="1">
      <c r="C37" s="387" t="s">
        <v>149</v>
      </c>
      <c r="D37" s="388">
        <v>31</v>
      </c>
      <c r="E37" s="384"/>
      <c r="F37" s="687"/>
      <c r="G37" s="687"/>
      <c r="H37" s="687"/>
      <c r="I37" s="687"/>
      <c r="J37" s="384"/>
      <c r="K37" s="687"/>
      <c r="L37" s="687"/>
      <c r="M37" s="687"/>
      <c r="N37" s="687"/>
      <c r="O37" s="687"/>
      <c r="P37" s="384"/>
      <c r="Q37" s="772"/>
      <c r="R37" s="771"/>
      <c r="S37" s="771"/>
      <c r="T37" s="761"/>
      <c r="U37" s="761"/>
      <c r="V37" s="384"/>
      <c r="W37" s="672"/>
      <c r="X37" s="689"/>
      <c r="Y37" s="689"/>
      <c r="Z37" s="750"/>
      <c r="AB37" s="697"/>
      <c r="AC37" s="707"/>
      <c r="AD37" s="707"/>
      <c r="AE37" s="747"/>
    </row>
    <row r="38" spans="3:31" ht="15" customHeight="1" outlineLevel="1">
      <c r="C38" s="387" t="s">
        <v>150</v>
      </c>
      <c r="D38" s="388">
        <v>30</v>
      </c>
      <c r="E38" s="384"/>
      <c r="F38" s="687"/>
      <c r="G38" s="687"/>
      <c r="H38" s="687"/>
      <c r="I38" s="687"/>
      <c r="J38" s="384"/>
      <c r="K38" s="687"/>
      <c r="L38" s="687"/>
      <c r="M38" s="687"/>
      <c r="N38" s="687"/>
      <c r="O38" s="687"/>
      <c r="P38" s="384"/>
      <c r="Q38" s="772"/>
      <c r="R38" s="771"/>
      <c r="S38" s="771"/>
      <c r="T38" s="761"/>
      <c r="U38" s="761"/>
      <c r="V38" s="384"/>
      <c r="W38" s="672"/>
      <c r="X38" s="689"/>
      <c r="Y38" s="689"/>
      <c r="Z38" s="750"/>
      <c r="AB38" s="697"/>
      <c r="AC38" s="707"/>
      <c r="AD38" s="707"/>
      <c r="AE38" s="747"/>
    </row>
    <row r="39" spans="3:31" ht="15" customHeight="1" outlineLevel="1">
      <c r="C39" s="387" t="s">
        <v>151</v>
      </c>
      <c r="D39" s="388">
        <v>31</v>
      </c>
      <c r="E39" s="384"/>
      <c r="F39" s="687"/>
      <c r="G39" s="687"/>
      <c r="H39" s="687"/>
      <c r="I39" s="687"/>
      <c r="J39" s="384"/>
      <c r="K39" s="687"/>
      <c r="L39" s="687"/>
      <c r="M39" s="687"/>
      <c r="N39" s="687"/>
      <c r="O39" s="687"/>
      <c r="P39" s="384"/>
      <c r="Q39" s="771">
        <v>2878</v>
      </c>
      <c r="R39" s="771">
        <v>504</v>
      </c>
      <c r="S39" s="771">
        <f>Q39+R39</f>
        <v>3382</v>
      </c>
      <c r="T39" s="761">
        <v>12699.87</v>
      </c>
      <c r="U39" s="761">
        <f>T39*1.21</f>
        <v>15366.842700000001</v>
      </c>
      <c r="V39" s="384"/>
      <c r="W39" s="672"/>
      <c r="X39" s="689"/>
      <c r="Y39" s="689"/>
      <c r="Z39" s="750"/>
      <c r="AB39" s="697"/>
      <c r="AC39" s="707"/>
      <c r="AD39" s="707"/>
      <c r="AE39" s="747"/>
    </row>
    <row r="40" spans="3:31" ht="15" customHeight="1" outlineLevel="1">
      <c r="C40" s="387" t="s">
        <v>152</v>
      </c>
      <c r="D40" s="388">
        <v>30</v>
      </c>
      <c r="E40" s="384"/>
      <c r="F40" s="687"/>
      <c r="G40" s="687"/>
      <c r="H40" s="687"/>
      <c r="I40" s="687"/>
      <c r="J40" s="384"/>
      <c r="K40" s="687"/>
      <c r="L40" s="687"/>
      <c r="M40" s="687"/>
      <c r="N40" s="687"/>
      <c r="O40" s="687"/>
      <c r="P40" s="384"/>
      <c r="Q40" s="771"/>
      <c r="R40" s="771"/>
      <c r="S40" s="771"/>
      <c r="T40" s="761"/>
      <c r="U40" s="761"/>
      <c r="V40" s="384"/>
      <c r="W40" s="672"/>
      <c r="X40" s="689"/>
      <c r="Y40" s="689"/>
      <c r="Z40" s="750"/>
      <c r="AB40" s="697"/>
      <c r="AC40" s="707"/>
      <c r="AD40" s="707"/>
      <c r="AE40" s="747"/>
    </row>
    <row r="41" spans="3:31" ht="15" customHeight="1" outlineLevel="1">
      <c r="C41" s="387" t="s">
        <v>153</v>
      </c>
      <c r="D41" s="388">
        <v>31</v>
      </c>
      <c r="E41" s="384"/>
      <c r="F41" s="687"/>
      <c r="G41" s="687"/>
      <c r="H41" s="687"/>
      <c r="I41" s="687"/>
      <c r="J41" s="384"/>
      <c r="K41" s="687"/>
      <c r="L41" s="687"/>
      <c r="M41" s="687"/>
      <c r="N41" s="687"/>
      <c r="O41" s="687"/>
      <c r="P41" s="384"/>
      <c r="Q41" s="771"/>
      <c r="R41" s="771"/>
      <c r="S41" s="771"/>
      <c r="T41" s="761"/>
      <c r="U41" s="761"/>
      <c r="V41" s="384"/>
      <c r="W41" s="672"/>
      <c r="X41" s="689"/>
      <c r="Y41" s="689"/>
      <c r="Z41" s="750"/>
      <c r="AB41" s="697"/>
      <c r="AC41" s="707"/>
      <c r="AD41" s="707"/>
      <c r="AE41" s="747"/>
    </row>
    <row r="42" spans="3:31" ht="15" customHeight="1" outlineLevel="1">
      <c r="C42" s="387" t="s">
        <v>154</v>
      </c>
      <c r="D42" s="388">
        <v>31</v>
      </c>
      <c r="E42" s="384"/>
      <c r="F42" s="687"/>
      <c r="G42" s="687"/>
      <c r="H42" s="687"/>
      <c r="I42" s="687"/>
      <c r="J42" s="384"/>
      <c r="K42" s="687"/>
      <c r="L42" s="687"/>
      <c r="M42" s="687"/>
      <c r="N42" s="687"/>
      <c r="O42" s="687"/>
      <c r="P42" s="384"/>
      <c r="Q42" s="771"/>
      <c r="R42" s="771"/>
      <c r="S42" s="771"/>
      <c r="T42" s="761"/>
      <c r="U42" s="761"/>
      <c r="V42" s="384"/>
      <c r="W42" s="672"/>
      <c r="X42" s="689"/>
      <c r="Y42" s="689"/>
      <c r="Z42" s="750"/>
      <c r="AB42" s="697"/>
      <c r="AC42" s="707"/>
      <c r="AD42" s="707"/>
      <c r="AE42" s="747"/>
    </row>
    <row r="43" spans="3:31" ht="15" customHeight="1" outlineLevel="1">
      <c r="C43" s="387" t="s">
        <v>155</v>
      </c>
      <c r="D43" s="388">
        <v>30</v>
      </c>
      <c r="E43" s="384"/>
      <c r="F43" s="687"/>
      <c r="G43" s="687"/>
      <c r="H43" s="687"/>
      <c r="I43" s="687"/>
      <c r="J43" s="384"/>
      <c r="K43" s="687"/>
      <c r="L43" s="687"/>
      <c r="M43" s="687"/>
      <c r="N43" s="687"/>
      <c r="O43" s="687"/>
      <c r="P43" s="384"/>
      <c r="Q43" s="771">
        <v>3143</v>
      </c>
      <c r="R43" s="771">
        <v>761</v>
      </c>
      <c r="S43" s="771">
        <f>Q43+R43</f>
        <v>3904</v>
      </c>
      <c r="T43" s="761">
        <f>4930.68+9060.61+110.48</f>
        <v>14101.77</v>
      </c>
      <c r="U43" s="761">
        <f>T43*1.21</f>
        <v>17063.1417</v>
      </c>
      <c r="V43" s="384"/>
      <c r="W43" s="672"/>
      <c r="X43" s="689"/>
      <c r="Y43" s="689"/>
      <c r="Z43" s="750"/>
      <c r="AB43" s="697"/>
      <c r="AC43" s="707"/>
      <c r="AD43" s="707"/>
      <c r="AE43" s="747"/>
    </row>
    <row r="44" spans="3:31" ht="15" customHeight="1" outlineLevel="1">
      <c r="C44" s="387" t="s">
        <v>156</v>
      </c>
      <c r="D44" s="388">
        <v>31</v>
      </c>
      <c r="E44" s="384"/>
      <c r="F44" s="687"/>
      <c r="G44" s="687"/>
      <c r="H44" s="687"/>
      <c r="I44" s="687"/>
      <c r="J44" s="384"/>
      <c r="K44" s="687"/>
      <c r="L44" s="687"/>
      <c r="M44" s="687"/>
      <c r="N44" s="687"/>
      <c r="O44" s="687"/>
      <c r="P44" s="384"/>
      <c r="Q44" s="771"/>
      <c r="R44" s="771"/>
      <c r="S44" s="771"/>
      <c r="T44" s="761"/>
      <c r="U44" s="761"/>
      <c r="V44" s="384"/>
      <c r="W44" s="673"/>
      <c r="X44" s="690"/>
      <c r="Y44" s="690"/>
      <c r="Z44" s="751"/>
      <c r="AB44" s="698"/>
      <c r="AC44" s="745"/>
      <c r="AD44" s="745"/>
      <c r="AE44" s="748"/>
    </row>
    <row r="45" spans="3:31" ht="15" customHeight="1" outlineLevel="1">
      <c r="C45" s="387" t="s">
        <v>157</v>
      </c>
      <c r="D45" s="388">
        <v>30</v>
      </c>
      <c r="E45" s="384"/>
      <c r="F45" s="687"/>
      <c r="G45" s="687"/>
      <c r="H45" s="687"/>
      <c r="I45" s="687"/>
      <c r="J45" s="384"/>
      <c r="K45" s="687"/>
      <c r="L45" s="687"/>
      <c r="M45" s="687"/>
      <c r="N45" s="687"/>
      <c r="O45" s="687"/>
      <c r="P45" s="384"/>
      <c r="Q45" s="771"/>
      <c r="R45" s="771"/>
      <c r="S45" s="771"/>
      <c r="T45" s="761"/>
      <c r="U45" s="761"/>
      <c r="V45" s="384"/>
      <c r="W45" s="686">
        <v>19</v>
      </c>
      <c r="X45" s="688">
        <v>43.46</v>
      </c>
      <c r="Y45" s="688">
        <v>42.34</v>
      </c>
      <c r="Z45" s="736">
        <f>1.15*W45*(X45+Y45)</f>
        <v>1874.73</v>
      </c>
      <c r="AB45" s="704">
        <v>0</v>
      </c>
      <c r="AC45" s="706">
        <v>0</v>
      </c>
      <c r="AD45" s="706">
        <v>42.34</v>
      </c>
      <c r="AE45" s="742">
        <f>1.15*AD45*29.984</f>
        <v>1459.9509440000002</v>
      </c>
    </row>
    <row r="46" spans="3:31" ht="15" customHeight="1" outlineLevel="1">
      <c r="C46" s="387" t="s">
        <v>158</v>
      </c>
      <c r="D46" s="388">
        <v>31</v>
      </c>
      <c r="E46" s="384"/>
      <c r="F46" s="727"/>
      <c r="G46" s="727"/>
      <c r="H46" s="727"/>
      <c r="I46" s="727"/>
      <c r="J46" s="384"/>
      <c r="K46" s="727"/>
      <c r="L46" s="727"/>
      <c r="M46" s="727"/>
      <c r="N46" s="727"/>
      <c r="O46" s="727"/>
      <c r="P46" s="384"/>
      <c r="Q46" s="771"/>
      <c r="R46" s="771"/>
      <c r="S46" s="771"/>
      <c r="T46" s="761"/>
      <c r="U46" s="761"/>
      <c r="V46" s="384"/>
      <c r="W46" s="687"/>
      <c r="X46" s="711"/>
      <c r="Y46" s="711"/>
      <c r="Z46" s="741"/>
      <c r="AB46" s="705"/>
      <c r="AC46" s="712"/>
      <c r="AD46" s="712"/>
      <c r="AE46" s="743"/>
    </row>
    <row r="47" spans="6:31" ht="15">
      <c r="F47" s="452">
        <f>SUM(F35:F46)</f>
        <v>315</v>
      </c>
      <c r="G47" s="404"/>
      <c r="H47" s="452">
        <f>SUM(H35)</f>
        <v>149167.30499999996</v>
      </c>
      <c r="K47" s="419">
        <f>SUM(K35:K46)</f>
        <v>0</v>
      </c>
      <c r="L47" s="361"/>
      <c r="M47" s="361"/>
      <c r="N47" s="419">
        <f>SUM(N35:N46)</f>
        <v>0</v>
      </c>
      <c r="O47" s="399"/>
      <c r="P47" s="397"/>
      <c r="Q47" s="419">
        <f>SUM(Q35:Q46)</f>
        <v>6021</v>
      </c>
      <c r="R47" s="419">
        <f>SUM(R35:R46)</f>
        <v>1265</v>
      </c>
      <c r="S47" s="419">
        <f>SUM(S35:S46)</f>
        <v>7286</v>
      </c>
      <c r="T47" s="419">
        <f>SUM(T35:T46)</f>
        <v>26801.64</v>
      </c>
      <c r="U47" s="419">
        <f>SUM(U35:U46)</f>
        <v>32429.9844</v>
      </c>
      <c r="W47" s="419">
        <f>SUM(W35:W46)</f>
        <v>172</v>
      </c>
      <c r="X47" s="361"/>
      <c r="Y47" s="361"/>
      <c r="Z47" s="469">
        <f>SUM(Z35:Z46)</f>
        <v>16971.24</v>
      </c>
      <c r="AB47" s="425">
        <f>SUM(AB35:AB46)</f>
        <v>0</v>
      </c>
      <c r="AC47" s="470"/>
      <c r="AD47" s="470"/>
      <c r="AE47" s="471">
        <f>SUM(AE35:AE46)</f>
        <v>14023.008000000002</v>
      </c>
    </row>
    <row r="48" spans="2:31" ht="15">
      <c r="B48" s="382"/>
      <c r="E48" s="421"/>
      <c r="J48" s="421"/>
      <c r="K48" s="420"/>
      <c r="L48" s="420"/>
      <c r="M48" s="434"/>
      <c r="N48" s="434"/>
      <c r="O48" s="434"/>
      <c r="P48" s="421"/>
      <c r="Q48" s="472"/>
      <c r="R48" s="472"/>
      <c r="S48" s="472"/>
      <c r="V48" s="421"/>
      <c r="W48" s="409"/>
      <c r="X48" s="413"/>
      <c r="Y48" s="413"/>
      <c r="Z48" s="457"/>
      <c r="AB48" s="415"/>
      <c r="AC48" s="416"/>
      <c r="AD48" s="416"/>
      <c r="AE48" s="458"/>
    </row>
    <row r="49" spans="2:31" ht="15.75" customHeight="1" outlineLevel="1">
      <c r="B49" s="386">
        <f>B35+1</f>
        <v>2019</v>
      </c>
      <c r="C49" s="387" t="s">
        <v>147</v>
      </c>
      <c r="D49" s="388">
        <v>31</v>
      </c>
      <c r="E49" s="389"/>
      <c r="F49" s="686">
        <v>279.21</v>
      </c>
      <c r="G49" s="686">
        <f>125147.51</f>
        <v>125147.51</v>
      </c>
      <c r="H49" s="686">
        <f>G49*1.15</f>
        <v>143919.6365</v>
      </c>
      <c r="I49" s="686">
        <f>H49/F49</f>
        <v>515.4530156513019</v>
      </c>
      <c r="J49" s="389"/>
      <c r="K49" s="390"/>
      <c r="L49" s="430"/>
      <c r="M49" s="431"/>
      <c r="N49" s="431"/>
      <c r="O49" s="431"/>
      <c r="P49" s="389"/>
      <c r="Q49" s="771">
        <v>3416</v>
      </c>
      <c r="R49" s="771">
        <v>964</v>
      </c>
      <c r="S49" s="771">
        <f>Q49+R49</f>
        <v>4380</v>
      </c>
      <c r="T49" s="761">
        <f>5464.67+10197.38+123.95</f>
        <v>15786</v>
      </c>
      <c r="U49" s="761">
        <f>T49*1.21</f>
        <v>19101.059999999998</v>
      </c>
      <c r="V49" s="389"/>
      <c r="W49" s="671">
        <v>151</v>
      </c>
      <c r="X49" s="716">
        <v>44.23</v>
      </c>
      <c r="Y49" s="716">
        <v>42.34</v>
      </c>
      <c r="Z49" s="749">
        <f>1.15*W49*(X49+Y49)</f>
        <v>15032.880499999997</v>
      </c>
      <c r="AB49" s="696">
        <v>0</v>
      </c>
      <c r="AC49" s="744">
        <v>0</v>
      </c>
      <c r="AD49" s="744">
        <v>42.34</v>
      </c>
      <c r="AE49" s="746">
        <f>1.15*AD49*243.814</f>
        <v>11871.547474</v>
      </c>
    </row>
    <row r="50" spans="3:31" ht="15" customHeight="1" outlineLevel="1">
      <c r="C50" s="387" t="s">
        <v>148</v>
      </c>
      <c r="D50" s="388">
        <v>28</v>
      </c>
      <c r="E50" s="384"/>
      <c r="F50" s="687"/>
      <c r="G50" s="687"/>
      <c r="H50" s="687"/>
      <c r="I50" s="687"/>
      <c r="J50" s="384"/>
      <c r="K50" s="390"/>
      <c r="L50" s="430"/>
      <c r="M50" s="431"/>
      <c r="N50" s="431"/>
      <c r="O50" s="431"/>
      <c r="P50" s="384"/>
      <c r="Q50" s="771"/>
      <c r="R50" s="771"/>
      <c r="S50" s="771"/>
      <c r="T50" s="761"/>
      <c r="U50" s="761"/>
      <c r="V50" s="384"/>
      <c r="W50" s="672"/>
      <c r="X50" s="689"/>
      <c r="Y50" s="689"/>
      <c r="Z50" s="750"/>
      <c r="AB50" s="697"/>
      <c r="AC50" s="707"/>
      <c r="AD50" s="707"/>
      <c r="AE50" s="747"/>
    </row>
    <row r="51" spans="3:31" ht="15" customHeight="1" outlineLevel="1">
      <c r="C51" s="387" t="s">
        <v>149</v>
      </c>
      <c r="D51" s="388">
        <v>31</v>
      </c>
      <c r="E51" s="384"/>
      <c r="F51" s="687"/>
      <c r="G51" s="687"/>
      <c r="H51" s="687"/>
      <c r="I51" s="687"/>
      <c r="J51" s="384"/>
      <c r="K51" s="430"/>
      <c r="L51" s="430"/>
      <c r="M51" s="431"/>
      <c r="N51" s="431"/>
      <c r="O51" s="431"/>
      <c r="P51" s="384"/>
      <c r="Q51" s="771"/>
      <c r="R51" s="771"/>
      <c r="S51" s="771"/>
      <c r="T51" s="761"/>
      <c r="U51" s="761"/>
      <c r="V51" s="384"/>
      <c r="W51" s="672"/>
      <c r="X51" s="689"/>
      <c r="Y51" s="689"/>
      <c r="Z51" s="750"/>
      <c r="AB51" s="697"/>
      <c r="AC51" s="707"/>
      <c r="AD51" s="707"/>
      <c r="AE51" s="747"/>
    </row>
    <row r="52" spans="3:31" ht="15" customHeight="1" outlineLevel="1">
      <c r="C52" s="387" t="s">
        <v>150</v>
      </c>
      <c r="D52" s="388">
        <v>30</v>
      </c>
      <c r="E52" s="384"/>
      <c r="F52" s="687"/>
      <c r="G52" s="687"/>
      <c r="H52" s="687"/>
      <c r="I52" s="687"/>
      <c r="J52" s="384"/>
      <c r="K52" s="432"/>
      <c r="L52" s="432"/>
      <c r="M52" s="433"/>
      <c r="N52" s="431"/>
      <c r="O52" s="431"/>
      <c r="P52" s="384"/>
      <c r="Q52" s="771"/>
      <c r="R52" s="771"/>
      <c r="S52" s="771"/>
      <c r="T52" s="761"/>
      <c r="U52" s="761"/>
      <c r="V52" s="384"/>
      <c r="W52" s="672"/>
      <c r="X52" s="689"/>
      <c r="Y52" s="689"/>
      <c r="Z52" s="750"/>
      <c r="AB52" s="697"/>
      <c r="AC52" s="707"/>
      <c r="AD52" s="707"/>
      <c r="AE52" s="747"/>
    </row>
    <row r="53" spans="3:31" ht="15" customHeight="1" outlineLevel="1">
      <c r="C53" s="387" t="s">
        <v>151</v>
      </c>
      <c r="D53" s="388">
        <v>31</v>
      </c>
      <c r="E53" s="384"/>
      <c r="F53" s="687"/>
      <c r="G53" s="687"/>
      <c r="H53" s="687"/>
      <c r="I53" s="687"/>
      <c r="J53" s="384"/>
      <c r="K53" s="430"/>
      <c r="L53" s="430"/>
      <c r="M53" s="433"/>
      <c r="N53" s="431"/>
      <c r="O53" s="431"/>
      <c r="P53" s="384"/>
      <c r="Q53" s="762">
        <f>34344-29113</f>
        <v>5231</v>
      </c>
      <c r="R53" s="765">
        <f>8041-6828</f>
        <v>1213</v>
      </c>
      <c r="S53" s="767">
        <f>Q53+R53</f>
        <v>6444</v>
      </c>
      <c r="T53" s="769">
        <f>8223.74+15809.16+182.37</f>
        <v>24215.27</v>
      </c>
      <c r="U53" s="736">
        <f>T53*1.21</f>
        <v>29300.4767</v>
      </c>
      <c r="V53" s="384"/>
      <c r="W53" s="672"/>
      <c r="X53" s="689"/>
      <c r="Y53" s="689"/>
      <c r="Z53" s="750"/>
      <c r="AB53" s="697"/>
      <c r="AC53" s="707"/>
      <c r="AD53" s="707"/>
      <c r="AE53" s="747"/>
    </row>
    <row r="54" spans="3:31" ht="15" customHeight="1" outlineLevel="1">
      <c r="C54" s="387" t="s">
        <v>152</v>
      </c>
      <c r="D54" s="388">
        <v>30</v>
      </c>
      <c r="E54" s="384"/>
      <c r="F54" s="687"/>
      <c r="G54" s="687"/>
      <c r="H54" s="687"/>
      <c r="I54" s="687"/>
      <c r="J54" s="384"/>
      <c r="K54" s="430"/>
      <c r="L54" s="430"/>
      <c r="M54" s="433"/>
      <c r="N54" s="431"/>
      <c r="O54" s="431"/>
      <c r="P54" s="384"/>
      <c r="Q54" s="763"/>
      <c r="R54" s="766"/>
      <c r="S54" s="768"/>
      <c r="T54" s="770"/>
      <c r="U54" s="737"/>
      <c r="V54" s="384"/>
      <c r="W54" s="672"/>
      <c r="X54" s="689"/>
      <c r="Y54" s="689"/>
      <c r="Z54" s="750"/>
      <c r="AB54" s="697"/>
      <c r="AC54" s="707"/>
      <c r="AD54" s="707"/>
      <c r="AE54" s="747"/>
    </row>
    <row r="55" spans="3:31" ht="15" customHeight="1" outlineLevel="1">
      <c r="C55" s="387" t="s">
        <v>153</v>
      </c>
      <c r="D55" s="388">
        <v>31</v>
      </c>
      <c r="E55" s="384"/>
      <c r="F55" s="687"/>
      <c r="G55" s="687"/>
      <c r="H55" s="687"/>
      <c r="I55" s="687"/>
      <c r="J55" s="384"/>
      <c r="K55" s="430"/>
      <c r="L55" s="430"/>
      <c r="M55" s="433"/>
      <c r="N55" s="431"/>
      <c r="O55" s="431"/>
      <c r="P55" s="384"/>
      <c r="Q55" s="763"/>
      <c r="R55" s="766"/>
      <c r="S55" s="768"/>
      <c r="T55" s="770"/>
      <c r="U55" s="737"/>
      <c r="V55" s="384"/>
      <c r="W55" s="672"/>
      <c r="X55" s="689"/>
      <c r="Y55" s="689"/>
      <c r="Z55" s="750"/>
      <c r="AB55" s="697"/>
      <c r="AC55" s="707"/>
      <c r="AD55" s="707"/>
      <c r="AE55" s="747"/>
    </row>
    <row r="56" spans="3:31" ht="15" customHeight="1" outlineLevel="1">
      <c r="C56" s="387" t="s">
        <v>154</v>
      </c>
      <c r="D56" s="388">
        <v>31</v>
      </c>
      <c r="E56" s="384"/>
      <c r="F56" s="687"/>
      <c r="G56" s="687"/>
      <c r="H56" s="687"/>
      <c r="I56" s="687"/>
      <c r="J56" s="384"/>
      <c r="K56" s="430"/>
      <c r="L56" s="430"/>
      <c r="M56" s="433"/>
      <c r="N56" s="431"/>
      <c r="O56" s="431"/>
      <c r="P56" s="384"/>
      <c r="Q56" s="763"/>
      <c r="R56" s="766"/>
      <c r="S56" s="768"/>
      <c r="T56" s="770"/>
      <c r="U56" s="737"/>
      <c r="V56" s="384"/>
      <c r="W56" s="672"/>
      <c r="X56" s="689"/>
      <c r="Y56" s="689"/>
      <c r="Z56" s="750"/>
      <c r="AB56" s="697"/>
      <c r="AC56" s="707"/>
      <c r="AD56" s="707"/>
      <c r="AE56" s="747"/>
    </row>
    <row r="57" spans="3:31" ht="15" customHeight="1" outlineLevel="1">
      <c r="C57" s="387" t="s">
        <v>155</v>
      </c>
      <c r="D57" s="388">
        <v>30</v>
      </c>
      <c r="E57" s="384"/>
      <c r="F57" s="687"/>
      <c r="G57" s="687"/>
      <c r="H57" s="687"/>
      <c r="I57" s="687"/>
      <c r="J57" s="384"/>
      <c r="K57" s="430"/>
      <c r="L57" s="430"/>
      <c r="M57" s="433"/>
      <c r="N57" s="431"/>
      <c r="O57" s="431"/>
      <c r="P57" s="384"/>
      <c r="Q57" s="763"/>
      <c r="R57" s="766"/>
      <c r="S57" s="768"/>
      <c r="T57" s="770"/>
      <c r="U57" s="737"/>
      <c r="V57" s="384"/>
      <c r="W57" s="672"/>
      <c r="X57" s="689"/>
      <c r="Y57" s="689"/>
      <c r="Z57" s="750"/>
      <c r="AB57" s="697"/>
      <c r="AC57" s="707"/>
      <c r="AD57" s="707"/>
      <c r="AE57" s="747"/>
    </row>
    <row r="58" spans="3:31" ht="15" customHeight="1" outlineLevel="1">
      <c r="C58" s="387" t="s">
        <v>156</v>
      </c>
      <c r="D58" s="388">
        <v>31</v>
      </c>
      <c r="E58" s="384"/>
      <c r="F58" s="687"/>
      <c r="G58" s="687"/>
      <c r="H58" s="687"/>
      <c r="I58" s="687"/>
      <c r="J58" s="384"/>
      <c r="K58" s="430"/>
      <c r="L58" s="430"/>
      <c r="M58" s="433"/>
      <c r="N58" s="433"/>
      <c r="O58" s="433"/>
      <c r="P58" s="384"/>
      <c r="Q58" s="763"/>
      <c r="R58" s="766"/>
      <c r="S58" s="768"/>
      <c r="T58" s="770"/>
      <c r="U58" s="737"/>
      <c r="V58" s="384"/>
      <c r="W58" s="673"/>
      <c r="X58" s="690"/>
      <c r="Y58" s="690"/>
      <c r="Z58" s="751"/>
      <c r="AB58" s="698"/>
      <c r="AC58" s="745"/>
      <c r="AD58" s="745"/>
      <c r="AE58" s="748"/>
    </row>
    <row r="59" spans="3:31" ht="15" customHeight="1" outlineLevel="1">
      <c r="C59" s="387" t="s">
        <v>157</v>
      </c>
      <c r="D59" s="388">
        <v>30</v>
      </c>
      <c r="E59" s="384"/>
      <c r="F59" s="687"/>
      <c r="G59" s="687"/>
      <c r="H59" s="687"/>
      <c r="I59" s="687"/>
      <c r="J59" s="384"/>
      <c r="K59" s="430"/>
      <c r="L59" s="430"/>
      <c r="M59" s="433"/>
      <c r="N59" s="433"/>
      <c r="O59" s="433"/>
      <c r="P59" s="384"/>
      <c r="Q59" s="763"/>
      <c r="R59" s="766"/>
      <c r="S59" s="768"/>
      <c r="T59" s="770"/>
      <c r="U59" s="737"/>
      <c r="V59" s="384"/>
      <c r="W59" s="430"/>
      <c r="X59" s="462"/>
      <c r="Y59" s="462"/>
      <c r="Z59" s="462"/>
      <c r="AB59" s="463"/>
      <c r="AC59" s="464"/>
      <c r="AD59" s="464"/>
      <c r="AE59" s="462"/>
    </row>
    <row r="60" spans="3:31" ht="15" customHeight="1" outlineLevel="1">
      <c r="C60" s="387" t="s">
        <v>158</v>
      </c>
      <c r="D60" s="388">
        <v>31</v>
      </c>
      <c r="E60" s="384"/>
      <c r="F60" s="727"/>
      <c r="G60" s="727"/>
      <c r="H60" s="727"/>
      <c r="I60" s="727"/>
      <c r="J60" s="384"/>
      <c r="K60" s="430"/>
      <c r="L60" s="430"/>
      <c r="M60" s="433"/>
      <c r="N60" s="433"/>
      <c r="O60" s="433"/>
      <c r="P60" s="384"/>
      <c r="Q60" s="764"/>
      <c r="R60" s="766"/>
      <c r="S60" s="768"/>
      <c r="T60" s="770"/>
      <c r="U60" s="737"/>
      <c r="V60" s="384"/>
      <c r="W60" s="430"/>
      <c r="X60" s="462"/>
      <c r="Y60" s="462"/>
      <c r="Z60" s="462"/>
      <c r="AB60" s="463"/>
      <c r="AC60" s="464"/>
      <c r="AD60" s="464"/>
      <c r="AE60" s="462"/>
    </row>
    <row r="61" spans="6:31" ht="15">
      <c r="F61" s="452">
        <f>SUM(F49:F60)</f>
        <v>279.21</v>
      </c>
      <c r="G61" s="404"/>
      <c r="H61" s="452">
        <f>SUM(H49)</f>
        <v>143919.6365</v>
      </c>
      <c r="K61" s="419">
        <f>SUM(K49:K60)</f>
        <v>0</v>
      </c>
      <c r="L61" s="361"/>
      <c r="M61" s="361"/>
      <c r="N61" s="419">
        <f>SUM(N49:N60)</f>
        <v>0</v>
      </c>
      <c r="O61" s="399"/>
      <c r="P61" s="397"/>
      <c r="Q61" s="419">
        <f>SUM(Q49:Q60)</f>
        <v>8647</v>
      </c>
      <c r="R61" s="419">
        <f>SUM(R49:R60)</f>
        <v>2177</v>
      </c>
      <c r="S61" s="419">
        <f>SUM(S49:S60)</f>
        <v>10824</v>
      </c>
      <c r="T61" s="419">
        <f>SUM(T49:T60)</f>
        <v>40001.270000000004</v>
      </c>
      <c r="U61" s="419">
        <f>SUM(U49:U60)</f>
        <v>48401.5367</v>
      </c>
      <c r="W61" s="419">
        <f>SUM(W49:W60)</f>
        <v>151</v>
      </c>
      <c r="X61" s="361"/>
      <c r="Y61" s="361"/>
      <c r="Z61" s="419">
        <f>SUM(Z49:Z60)</f>
        <v>15032.880499999997</v>
      </c>
      <c r="AB61" s="425">
        <f>SUM(AB49:AB60)</f>
        <v>0</v>
      </c>
      <c r="AC61" s="470"/>
      <c r="AD61" s="470"/>
      <c r="AE61" s="425">
        <f>SUM(AE49:AE60)</f>
        <v>11871.547474</v>
      </c>
    </row>
    <row r="62" spans="2:31" ht="15">
      <c r="B62" s="382"/>
      <c r="E62" s="421"/>
      <c r="J62" s="421"/>
      <c r="K62" s="420"/>
      <c r="L62" s="420"/>
      <c r="M62" s="434"/>
      <c r="N62" s="434"/>
      <c r="O62" s="434"/>
      <c r="P62" s="421"/>
      <c r="Q62" s="472"/>
      <c r="R62" s="472"/>
      <c r="S62" s="472"/>
      <c r="V62" s="421"/>
      <c r="W62" s="409"/>
      <c r="X62" s="413"/>
      <c r="Y62" s="413"/>
      <c r="Z62" s="457"/>
      <c r="AB62" s="415"/>
      <c r="AC62" s="416"/>
      <c r="AD62" s="416"/>
      <c r="AE62" s="458"/>
    </row>
    <row r="63" spans="2:21" ht="15.75">
      <c r="B63" s="386">
        <v>2020</v>
      </c>
      <c r="C63" s="387" t="s">
        <v>147</v>
      </c>
      <c r="Q63" s="759">
        <f>37224-34344</f>
        <v>2880</v>
      </c>
      <c r="R63" s="759">
        <f>8923-8041</f>
        <v>882</v>
      </c>
      <c r="S63" s="759">
        <f>Q63+R63</f>
        <v>3762</v>
      </c>
      <c r="T63" s="760">
        <f>39073.39-T53</f>
        <v>14858.119999999999</v>
      </c>
      <c r="U63" s="761">
        <f>T63*1.21</f>
        <v>17978.3252</v>
      </c>
    </row>
    <row r="64" spans="3:21" ht="15">
      <c r="C64" s="387" t="s">
        <v>148</v>
      </c>
      <c r="Q64" s="759"/>
      <c r="R64" s="759"/>
      <c r="S64" s="759"/>
      <c r="T64" s="760"/>
      <c r="U64" s="761"/>
    </row>
    <row r="65" spans="3:21" ht="15">
      <c r="C65" s="387" t="s">
        <v>149</v>
      </c>
      <c r="Q65" s="759"/>
      <c r="R65" s="759"/>
      <c r="S65" s="759"/>
      <c r="T65" s="760"/>
      <c r="U65" s="761"/>
    </row>
    <row r="66" spans="3:21" ht="15">
      <c r="C66" s="387" t="s">
        <v>150</v>
      </c>
      <c r="Q66" s="759"/>
      <c r="R66" s="759"/>
      <c r="S66" s="759"/>
      <c r="T66" s="760"/>
      <c r="U66" s="761"/>
    </row>
    <row r="67" ht="15">
      <c r="C67" s="387" t="s">
        <v>151</v>
      </c>
    </row>
    <row r="68" ht="15">
      <c r="C68" s="387" t="s">
        <v>152</v>
      </c>
    </row>
    <row r="69" ht="15">
      <c r="C69" s="387" t="s">
        <v>153</v>
      </c>
    </row>
    <row r="70" ht="15">
      <c r="C70" s="387" t="s">
        <v>154</v>
      </c>
    </row>
    <row r="71" ht="15">
      <c r="C71" s="387" t="s">
        <v>155</v>
      </c>
    </row>
    <row r="72" ht="15">
      <c r="C72" s="387" t="s">
        <v>156</v>
      </c>
    </row>
    <row r="73" ht="15">
      <c r="C73" s="387" t="s">
        <v>157</v>
      </c>
    </row>
    <row r="74" ht="15">
      <c r="C74" s="387" t="s">
        <v>158</v>
      </c>
    </row>
    <row r="75" ht="15">
      <c r="Z75" s="474"/>
    </row>
    <row r="76" spans="3:27" ht="15">
      <c r="C76" s="590" t="s">
        <v>272</v>
      </c>
      <c r="D76" s="582"/>
      <c r="E76" s="583"/>
      <c r="F76" s="589">
        <f>F61</f>
        <v>279.21</v>
      </c>
      <c r="G76" s="590"/>
      <c r="H76" s="589">
        <f>H61</f>
        <v>143919.6365</v>
      </c>
      <c r="I76" s="581"/>
      <c r="J76" s="583"/>
      <c r="K76" s="581"/>
      <c r="L76" s="581"/>
      <c r="M76" s="585"/>
      <c r="N76" s="585"/>
      <c r="O76" s="585"/>
      <c r="P76" s="583"/>
      <c r="Q76" s="586"/>
      <c r="R76" s="586"/>
      <c r="S76" s="595">
        <f>S61</f>
        <v>10824</v>
      </c>
      <c r="T76" s="585"/>
      <c r="U76" s="588">
        <f>U61</f>
        <v>48401.5367</v>
      </c>
      <c r="V76" s="583"/>
      <c r="W76" s="589">
        <f>W47</f>
        <v>172</v>
      </c>
      <c r="X76" s="590"/>
      <c r="Y76" s="590"/>
      <c r="Z76" s="589">
        <f>Z47</f>
        <v>16971.24</v>
      </c>
      <c r="AA76" s="450"/>
    </row>
    <row r="81" spans="2:31" s="359" customFormat="1" ht="15">
      <c r="B81" s="357"/>
      <c r="C81" s="357"/>
      <c r="D81" s="358"/>
      <c r="F81" s="473" t="s">
        <v>213</v>
      </c>
      <c r="G81" s="357"/>
      <c r="H81" s="357"/>
      <c r="I81" s="357"/>
      <c r="K81" s="357"/>
      <c r="L81" s="357"/>
      <c r="M81" s="360"/>
      <c r="N81" s="360"/>
      <c r="O81" s="360"/>
      <c r="Q81" s="473" t="s">
        <v>214</v>
      </c>
      <c r="R81" s="361"/>
      <c r="S81" s="361"/>
      <c r="T81" s="360"/>
      <c r="U81" s="360"/>
      <c r="W81" s="357"/>
      <c r="X81" s="357"/>
      <c r="Y81" s="357"/>
      <c r="Z81" s="357"/>
      <c r="AA81" s="357"/>
      <c r="AB81" s="357"/>
      <c r="AC81" s="357"/>
      <c r="AD81" s="357"/>
      <c r="AE81" s="357"/>
    </row>
    <row r="82" spans="6:21" ht="15">
      <c r="F82" s="473" t="s">
        <v>204</v>
      </c>
      <c r="Q82" s="475" t="s">
        <v>215</v>
      </c>
      <c r="R82" s="476"/>
      <c r="S82" s="476"/>
      <c r="T82" s="473"/>
      <c r="U82" s="357"/>
    </row>
    <row r="83" spans="17:21" ht="15">
      <c r="Q83" s="476"/>
      <c r="R83" s="476"/>
      <c r="S83" s="476">
        <v>10635</v>
      </c>
      <c r="T83" s="473"/>
      <c r="U83" s="357"/>
    </row>
    <row r="84" spans="17:19" ht="15">
      <c r="Q84" s="357"/>
      <c r="R84" s="357"/>
      <c r="S84" s="357"/>
    </row>
    <row r="85" spans="17:19" ht="15">
      <c r="Q85" s="357"/>
      <c r="R85" s="357"/>
      <c r="S85" s="357"/>
    </row>
    <row r="86" ht="15">
      <c r="Q86" s="477" t="s">
        <v>216</v>
      </c>
    </row>
    <row r="87" spans="17:21" ht="15">
      <c r="Q87" s="423">
        <f>Q39+Q43+Q49</f>
        <v>9437</v>
      </c>
      <c r="R87" s="423">
        <f>R39+R43+R49</f>
        <v>2229</v>
      </c>
      <c r="S87" s="423">
        <f>S39+S43+S49</f>
        <v>11666</v>
      </c>
      <c r="T87" s="478">
        <f>T39+T43+T49</f>
        <v>42587.64</v>
      </c>
      <c r="U87" s="478">
        <f>U39+U43+U49</f>
        <v>51531.0444</v>
      </c>
    </row>
  </sheetData>
  <mergeCells count="127">
    <mergeCell ref="W2:Z2"/>
    <mergeCell ref="AB2:AE2"/>
    <mergeCell ref="Q3:T3"/>
    <mergeCell ref="W3:Z3"/>
    <mergeCell ref="AB3:AE3"/>
    <mergeCell ref="Q4:T4"/>
    <mergeCell ref="B5:B6"/>
    <mergeCell ref="F7:F18"/>
    <mergeCell ref="G7:G18"/>
    <mergeCell ref="H7:H18"/>
    <mergeCell ref="I7:I18"/>
    <mergeCell ref="F2:G2"/>
    <mergeCell ref="K2:M2"/>
    <mergeCell ref="Q2:T2"/>
    <mergeCell ref="AD7:AD16"/>
    <mergeCell ref="AE7:AE16"/>
    <mergeCell ref="W17:W18"/>
    <mergeCell ref="X17:X18"/>
    <mergeCell ref="Y17:Y18"/>
    <mergeCell ref="Z17:Z18"/>
    <mergeCell ref="AB17:AB18"/>
    <mergeCell ref="AC17:AC18"/>
    <mergeCell ref="AD17:AD18"/>
    <mergeCell ref="AE17:AE18"/>
    <mergeCell ref="W7:W16"/>
    <mergeCell ref="X7:X16"/>
    <mergeCell ref="Y7:Y16"/>
    <mergeCell ref="Z7:Z16"/>
    <mergeCell ref="AB7:AB16"/>
    <mergeCell ref="AC7:AC16"/>
    <mergeCell ref="AB21:AB30"/>
    <mergeCell ref="AC21:AC30"/>
    <mergeCell ref="AD21:AD30"/>
    <mergeCell ref="AE21:AE30"/>
    <mergeCell ref="W31:W32"/>
    <mergeCell ref="X31:X32"/>
    <mergeCell ref="Y31:Y32"/>
    <mergeCell ref="Z31:Z32"/>
    <mergeCell ref="AB31:AB32"/>
    <mergeCell ref="AC31:AC32"/>
    <mergeCell ref="W21:W30"/>
    <mergeCell ref="X21:X30"/>
    <mergeCell ref="Y21:Y30"/>
    <mergeCell ref="Z21:Z30"/>
    <mergeCell ref="AD31:AD32"/>
    <mergeCell ref="AE31:AE32"/>
    <mergeCell ref="F35:F46"/>
    <mergeCell ref="G35:G46"/>
    <mergeCell ref="H35:H46"/>
    <mergeCell ref="I35:I46"/>
    <mergeCell ref="K35:K46"/>
    <mergeCell ref="L35:L46"/>
    <mergeCell ref="M35:M46"/>
    <mergeCell ref="N35:N46"/>
    <mergeCell ref="T21:T32"/>
    <mergeCell ref="U21:U32"/>
    <mergeCell ref="M21:M32"/>
    <mergeCell ref="N21:N32"/>
    <mergeCell ref="O21:O32"/>
    <mergeCell ref="Q21:Q32"/>
    <mergeCell ref="R21:R32"/>
    <mergeCell ref="S21:S32"/>
    <mergeCell ref="F21:F32"/>
    <mergeCell ref="G21:G32"/>
    <mergeCell ref="H21:H32"/>
    <mergeCell ref="I21:I32"/>
    <mergeCell ref="K21:K32"/>
    <mergeCell ref="L21:L32"/>
    <mergeCell ref="AD35:AD44"/>
    <mergeCell ref="AE35:AE44"/>
    <mergeCell ref="Q39:Q42"/>
    <mergeCell ref="R39:R42"/>
    <mergeCell ref="S39:S42"/>
    <mergeCell ref="T39:T42"/>
    <mergeCell ref="U39:U42"/>
    <mergeCell ref="Q43:Q46"/>
    <mergeCell ref="R43:R46"/>
    <mergeCell ref="S43:S46"/>
    <mergeCell ref="W35:W44"/>
    <mergeCell ref="X35:X44"/>
    <mergeCell ref="Y35:Y44"/>
    <mergeCell ref="Z35:Z44"/>
    <mergeCell ref="AB35:AB44"/>
    <mergeCell ref="AC35:AC44"/>
    <mergeCell ref="Q35:Q38"/>
    <mergeCell ref="R35:R38"/>
    <mergeCell ref="S35:S38"/>
    <mergeCell ref="T35:T38"/>
    <mergeCell ref="U35:U38"/>
    <mergeCell ref="T43:T46"/>
    <mergeCell ref="U43:U46"/>
    <mergeCell ref="AD45:AD46"/>
    <mergeCell ref="AE45:AE46"/>
    <mergeCell ref="F49:F60"/>
    <mergeCell ref="G49:G60"/>
    <mergeCell ref="H49:H60"/>
    <mergeCell ref="I49:I60"/>
    <mergeCell ref="Q49:Q52"/>
    <mergeCell ref="R49:R52"/>
    <mergeCell ref="S49:S52"/>
    <mergeCell ref="T49:T52"/>
    <mergeCell ref="W45:W46"/>
    <mergeCell ref="X45:X46"/>
    <mergeCell ref="Y45:Y46"/>
    <mergeCell ref="Z45:Z46"/>
    <mergeCell ref="AB45:AB46"/>
    <mergeCell ref="AC45:AC46"/>
    <mergeCell ref="O35:O46"/>
    <mergeCell ref="Q63:Q66"/>
    <mergeCell ref="R63:R66"/>
    <mergeCell ref="S63:S66"/>
    <mergeCell ref="T63:T66"/>
    <mergeCell ref="U63:U66"/>
    <mergeCell ref="AC49:AC58"/>
    <mergeCell ref="AD49:AD58"/>
    <mergeCell ref="AE49:AE58"/>
    <mergeCell ref="Q53:Q60"/>
    <mergeCell ref="R53:R60"/>
    <mergeCell ref="S53:S60"/>
    <mergeCell ref="T53:T60"/>
    <mergeCell ref="U53:U60"/>
    <mergeCell ref="U49:U52"/>
    <mergeCell ref="W49:W58"/>
    <mergeCell ref="X49:X58"/>
    <mergeCell ref="Y49:Y58"/>
    <mergeCell ref="Z49:Z58"/>
    <mergeCell ref="AB49:AB58"/>
  </mergeCells>
  <conditionalFormatting sqref="R21">
    <cfRule type="cellIs" priority="36" dxfId="0" operator="greaterThan">
      <formula>0</formula>
    </cfRule>
  </conditionalFormatting>
  <conditionalFormatting sqref="Q7:S17 Q18">
    <cfRule type="cellIs" priority="37" dxfId="0" operator="greaterThan">
      <formula>0</formula>
    </cfRule>
  </conditionalFormatting>
  <conditionalFormatting sqref="S21">
    <cfRule type="cellIs" priority="35" dxfId="0" operator="greaterThan">
      <formula>0</formula>
    </cfRule>
  </conditionalFormatting>
  <conditionalFormatting sqref="F7">
    <cfRule type="cellIs" priority="34" dxfId="67" operator="greaterThan">
      <formula>0</formula>
    </cfRule>
  </conditionalFormatting>
  <conditionalFormatting sqref="F21">
    <cfRule type="cellIs" priority="33" dxfId="67" operator="greaterThan">
      <formula>0</formula>
    </cfRule>
  </conditionalFormatting>
  <conditionalFormatting sqref="F35">
    <cfRule type="cellIs" priority="32" dxfId="67" operator="greaterThan">
      <formula>0</formula>
    </cfRule>
  </conditionalFormatting>
  <conditionalFormatting sqref="Q21">
    <cfRule type="cellIs" priority="31" dxfId="0" operator="greaterThan">
      <formula>0</formula>
    </cfRule>
  </conditionalFormatting>
  <conditionalFormatting sqref="F49">
    <cfRule type="cellIs" priority="30" dxfId="67" operator="greaterThan">
      <formula>0</formula>
    </cfRule>
  </conditionalFormatting>
  <conditionalFormatting sqref="W59:W60">
    <cfRule type="cellIs" priority="29" dxfId="51" operator="greaterThan">
      <formula>0</formula>
    </cfRule>
  </conditionalFormatting>
  <conditionalFormatting sqref="W45">
    <cfRule type="cellIs" priority="22" dxfId="51" operator="greaterThan">
      <formula>0</formula>
    </cfRule>
  </conditionalFormatting>
  <conditionalFormatting sqref="W21">
    <cfRule type="cellIs" priority="28" dxfId="51" operator="greaterThan">
      <formula>0</formula>
    </cfRule>
  </conditionalFormatting>
  <conditionalFormatting sqref="W7">
    <cfRule type="cellIs" priority="27" dxfId="51" operator="greaterThan">
      <formula>0</formula>
    </cfRule>
  </conditionalFormatting>
  <conditionalFormatting sqref="W17">
    <cfRule type="cellIs" priority="26" dxfId="51" operator="greaterThan">
      <formula>0</formula>
    </cfRule>
  </conditionalFormatting>
  <conditionalFormatting sqref="W35">
    <cfRule type="cellIs" priority="25" dxfId="51" operator="greaterThan">
      <formula>0</formula>
    </cfRule>
  </conditionalFormatting>
  <conditionalFormatting sqref="W31">
    <cfRule type="cellIs" priority="24" dxfId="51" operator="greaterThan">
      <formula>0</formula>
    </cfRule>
  </conditionalFormatting>
  <conditionalFormatting sqref="W49">
    <cfRule type="cellIs" priority="23" dxfId="51" operator="greaterThan">
      <formula>0</formula>
    </cfRule>
  </conditionalFormatting>
  <conditionalFormatting sqref="AB59:AB60">
    <cfRule type="cellIs" priority="21" dxfId="51" operator="greaterThan">
      <formula>0</formula>
    </cfRule>
  </conditionalFormatting>
  <conditionalFormatting sqref="AB45">
    <cfRule type="cellIs" priority="15" dxfId="51" operator="greaterThan">
      <formula>0</formula>
    </cfRule>
  </conditionalFormatting>
  <conditionalFormatting sqref="AB21">
    <cfRule type="cellIs" priority="18" dxfId="51" operator="greaterThan">
      <formula>0</formula>
    </cfRule>
  </conditionalFormatting>
  <conditionalFormatting sqref="AB7">
    <cfRule type="cellIs" priority="20" dxfId="51" operator="greaterThan">
      <formula>0</formula>
    </cfRule>
  </conditionalFormatting>
  <conditionalFormatting sqref="AB49">
    <cfRule type="cellIs" priority="14" dxfId="51" operator="greaterThan">
      <formula>0</formula>
    </cfRule>
  </conditionalFormatting>
  <conditionalFormatting sqref="AB17">
    <cfRule type="cellIs" priority="19" dxfId="51" operator="greaterThan">
      <formula>0</formula>
    </cfRule>
  </conditionalFormatting>
  <conditionalFormatting sqref="AB31">
    <cfRule type="cellIs" priority="17" dxfId="51" operator="greaterThan">
      <formula>0</formula>
    </cfRule>
  </conditionalFormatting>
  <conditionalFormatting sqref="AB35">
    <cfRule type="cellIs" priority="16" dxfId="51" operator="greaterThan">
      <formula>0</formula>
    </cfRule>
  </conditionalFormatting>
  <conditionalFormatting sqref="R18:S18">
    <cfRule type="cellIs" priority="13" dxfId="0" operator="greaterThan">
      <formula>0</formula>
    </cfRule>
  </conditionalFormatting>
  <conditionalFormatting sqref="Q43">
    <cfRule type="cellIs" priority="12" dxfId="0" operator="greaterThan">
      <formula>0</formula>
    </cfRule>
  </conditionalFormatting>
  <conditionalFormatting sqref="S43">
    <cfRule type="cellIs" priority="11" dxfId="0" operator="greaterThan">
      <formula>0</formula>
    </cfRule>
  </conditionalFormatting>
  <conditionalFormatting sqref="Q49:R49">
    <cfRule type="cellIs" priority="10" dxfId="0" operator="greaterThan">
      <formula>0</formula>
    </cfRule>
  </conditionalFormatting>
  <conditionalFormatting sqref="S49">
    <cfRule type="cellIs" priority="9" dxfId="0" operator="greaterThan">
      <formula>0</formula>
    </cfRule>
  </conditionalFormatting>
  <conditionalFormatting sqref="R43">
    <cfRule type="cellIs" priority="8" dxfId="0" operator="greaterThan">
      <formula>0</formula>
    </cfRule>
  </conditionalFormatting>
  <conditionalFormatting sqref="Q39">
    <cfRule type="cellIs" priority="7" dxfId="0" operator="greaterThan">
      <formula>0</formula>
    </cfRule>
  </conditionalFormatting>
  <conditionalFormatting sqref="S39">
    <cfRule type="cellIs" priority="6" dxfId="0" operator="greaterThan">
      <formula>0</formula>
    </cfRule>
  </conditionalFormatting>
  <conditionalFormatting sqref="R39">
    <cfRule type="cellIs" priority="5" dxfId="0" operator="greaterThan">
      <formula>0</formula>
    </cfRule>
  </conditionalFormatting>
  <conditionalFormatting sqref="Q35">
    <cfRule type="cellIs" priority="4" dxfId="0" operator="greaterThan">
      <formula>0</formula>
    </cfRule>
  </conditionalFormatting>
  <conditionalFormatting sqref="S35">
    <cfRule type="cellIs" priority="3" dxfId="0" operator="greaterThan">
      <formula>0</formula>
    </cfRule>
  </conditionalFormatting>
  <conditionalFormatting sqref="R35">
    <cfRule type="cellIs" priority="2" dxfId="0" operator="greaterThan">
      <formula>0</formula>
    </cfRule>
  </conditionalFormatting>
  <conditionalFormatting sqref="Q53:S60 Q63:S66">
    <cfRule type="cellIs" priority="1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1:BZ85"/>
  <sheetViews>
    <sheetView zoomScale="55" zoomScaleNormal="55" workbookViewId="0" topLeftCell="A1">
      <pane xSplit="3" ySplit="20" topLeftCell="D36" activePane="bottomRight" state="frozen"/>
      <selection pane="topLeft" activeCell="Z86" sqref="Z86"/>
      <selection pane="topRight" activeCell="Z86" sqref="Z86"/>
      <selection pane="bottomLeft" activeCell="Z86" sqref="Z86"/>
      <selection pane="bottomRight" activeCell="T87" sqref="T87"/>
    </sheetView>
  </sheetViews>
  <sheetFormatPr defaultColWidth="10.140625" defaultRowHeight="15" outlineLevelRow="1" outlineLevelCol="2"/>
  <cols>
    <col min="1" max="1" width="4.28125" style="357" customWidth="1"/>
    <col min="2" max="2" width="8.28125" style="357" customWidth="1"/>
    <col min="3" max="3" width="10.57421875" style="357" customWidth="1"/>
    <col min="4" max="4" width="5.00390625" style="358" customWidth="1"/>
    <col min="5" max="5" width="3.7109375" style="359" customWidth="1"/>
    <col min="6" max="8" width="12.7109375" style="361" hidden="1" customWidth="1" outlineLevel="1"/>
    <col min="9" max="10" width="12.00390625" style="360" hidden="1" customWidth="1" outlineLevel="1"/>
    <col min="11" max="11" width="10.140625" style="357" hidden="1" customWidth="1" outlineLevel="1"/>
    <col min="12" max="12" width="12.7109375" style="361" customWidth="1" collapsed="1"/>
    <col min="13" max="14" width="12.7109375" style="361" customWidth="1"/>
    <col min="15" max="16" width="12.00390625" style="360" customWidth="1"/>
    <col min="17" max="17" width="3.7109375" style="359" customWidth="1"/>
    <col min="18" max="18" width="12.7109375" style="361" customWidth="1" collapsed="1"/>
    <col min="19" max="20" width="12.7109375" style="361" customWidth="1"/>
    <col min="21" max="22" width="12.00390625" style="360" customWidth="1"/>
    <col min="23" max="23" width="3.7109375" style="359" customWidth="1"/>
    <col min="24" max="26" width="12.7109375" style="361" customWidth="1"/>
    <col min="27" max="28" width="12.00390625" style="360" customWidth="1"/>
    <col min="29" max="29" width="3.7109375" style="359" customWidth="1"/>
    <col min="30" max="32" width="12.7109375" style="361" hidden="1" customWidth="1" outlineLevel="1"/>
    <col min="33" max="34" width="12.00390625" style="360" hidden="1" customWidth="1" outlineLevel="1"/>
    <col min="35" max="35" width="3.7109375" style="359" hidden="1" customWidth="1" outlineLevel="1"/>
    <col min="36" max="38" width="12.7109375" style="361" hidden="1" customWidth="1" outlineLevel="1"/>
    <col min="39" max="40" width="12.00390625" style="360" hidden="1" customWidth="1" outlineLevel="1"/>
    <col min="41" max="41" width="3.7109375" style="359" customWidth="1" collapsed="1"/>
    <col min="42" max="44" width="12.7109375" style="361" customWidth="1"/>
    <col min="45" max="46" width="12.00390625" style="360" customWidth="1"/>
    <col min="47" max="47" width="3.7109375" style="359" customWidth="1"/>
    <col min="48" max="48" width="12.7109375" style="361" customWidth="1" collapsed="1"/>
    <col min="49" max="50" width="12.7109375" style="361" customWidth="1"/>
    <col min="51" max="52" width="12.00390625" style="360" customWidth="1"/>
    <col min="53" max="53" width="3.7109375" style="359" customWidth="1"/>
    <col min="54" max="54" width="12.7109375" style="361" customWidth="1"/>
    <col min="55" max="56" width="12.7109375" style="361" customWidth="1" outlineLevel="1"/>
    <col min="57" max="57" width="12.00390625" style="360" customWidth="1" outlineLevel="1"/>
    <col min="58" max="58" width="12.00390625" style="360" customWidth="1"/>
    <col min="59" max="59" width="3.7109375" style="359" customWidth="1"/>
    <col min="60" max="60" width="12.7109375" style="361" hidden="1" customWidth="1" outlineLevel="1"/>
    <col min="61" max="62" width="12.7109375" style="361" hidden="1" customWidth="1" outlineLevel="2"/>
    <col min="63" max="63" width="12.00390625" style="360" hidden="1" customWidth="1" outlineLevel="2"/>
    <col min="64" max="64" width="12.00390625" style="360" hidden="1" customWidth="1" outlineLevel="1"/>
    <col min="65" max="65" width="4.28125" style="357" hidden="1" customWidth="1" outlineLevel="1"/>
    <col min="66" max="66" width="12.7109375" style="361" hidden="1" customWidth="1" outlineLevel="1"/>
    <col min="67" max="68" width="12.7109375" style="361" hidden="1" customWidth="1" outlineLevel="2"/>
    <col min="69" max="69" width="12.00390625" style="360" hidden="1" customWidth="1" outlineLevel="2"/>
    <col min="70" max="70" width="12.00390625" style="360" hidden="1" customWidth="1" outlineLevel="1"/>
    <col min="71" max="71" width="4.28125" style="357" hidden="1" customWidth="1" outlineLevel="1"/>
    <col min="72" max="72" width="12.7109375" style="361" hidden="1" customWidth="1" outlineLevel="1"/>
    <col min="73" max="74" width="12.7109375" style="361" hidden="1" customWidth="1" outlineLevel="2"/>
    <col min="75" max="75" width="12.00390625" style="360" hidden="1" customWidth="1" outlineLevel="2"/>
    <col min="76" max="76" width="12.00390625" style="360" hidden="1" customWidth="1" outlineLevel="1"/>
    <col min="77" max="77" width="4.28125" style="357" customWidth="1" collapsed="1"/>
    <col min="78" max="203" width="10.140625" style="357" customWidth="1"/>
    <col min="204" max="216" width="14.00390625" style="357" customWidth="1"/>
    <col min="217" max="459" width="10.140625" style="357" customWidth="1"/>
    <col min="460" max="472" width="14.00390625" style="357" customWidth="1"/>
    <col min="473" max="715" width="10.140625" style="357" customWidth="1"/>
    <col min="716" max="728" width="14.00390625" style="357" customWidth="1"/>
    <col min="729" max="971" width="10.140625" style="357" customWidth="1"/>
    <col min="972" max="984" width="14.00390625" style="357" customWidth="1"/>
    <col min="985" max="1227" width="10.140625" style="357" customWidth="1"/>
    <col min="1228" max="1240" width="14.00390625" style="357" customWidth="1"/>
    <col min="1241" max="1483" width="10.140625" style="357" customWidth="1"/>
    <col min="1484" max="1496" width="14.00390625" style="357" customWidth="1"/>
    <col min="1497" max="1739" width="10.140625" style="357" customWidth="1"/>
    <col min="1740" max="1752" width="14.00390625" style="357" customWidth="1"/>
    <col min="1753" max="1995" width="10.140625" style="357" customWidth="1"/>
    <col min="1996" max="2008" width="14.00390625" style="357" customWidth="1"/>
    <col min="2009" max="2251" width="10.140625" style="357" customWidth="1"/>
    <col min="2252" max="2264" width="14.00390625" style="357" customWidth="1"/>
    <col min="2265" max="2507" width="10.140625" style="357" customWidth="1"/>
    <col min="2508" max="2520" width="14.00390625" style="357" customWidth="1"/>
    <col min="2521" max="2763" width="10.140625" style="357" customWidth="1"/>
    <col min="2764" max="2776" width="14.00390625" style="357" customWidth="1"/>
    <col min="2777" max="3019" width="10.140625" style="357" customWidth="1"/>
    <col min="3020" max="3032" width="14.00390625" style="357" customWidth="1"/>
    <col min="3033" max="3275" width="10.140625" style="357" customWidth="1"/>
    <col min="3276" max="3288" width="14.00390625" style="357" customWidth="1"/>
    <col min="3289" max="3531" width="10.140625" style="357" customWidth="1"/>
    <col min="3532" max="3544" width="14.00390625" style="357" customWidth="1"/>
    <col min="3545" max="3787" width="10.140625" style="357" customWidth="1"/>
    <col min="3788" max="3800" width="14.00390625" style="357" customWidth="1"/>
    <col min="3801" max="4043" width="10.140625" style="357" customWidth="1"/>
    <col min="4044" max="4056" width="14.00390625" style="357" customWidth="1"/>
    <col min="4057" max="4299" width="10.140625" style="357" customWidth="1"/>
    <col min="4300" max="4312" width="14.00390625" style="357" customWidth="1"/>
    <col min="4313" max="4555" width="10.140625" style="357" customWidth="1"/>
    <col min="4556" max="4568" width="14.00390625" style="357" customWidth="1"/>
    <col min="4569" max="4811" width="10.140625" style="357" customWidth="1"/>
    <col min="4812" max="4824" width="14.00390625" style="357" customWidth="1"/>
    <col min="4825" max="5067" width="10.140625" style="357" customWidth="1"/>
    <col min="5068" max="5080" width="14.00390625" style="357" customWidth="1"/>
    <col min="5081" max="5323" width="10.140625" style="357" customWidth="1"/>
    <col min="5324" max="5336" width="14.00390625" style="357" customWidth="1"/>
    <col min="5337" max="5579" width="10.140625" style="357" customWidth="1"/>
    <col min="5580" max="5592" width="14.00390625" style="357" customWidth="1"/>
    <col min="5593" max="5835" width="10.140625" style="357" customWidth="1"/>
    <col min="5836" max="5848" width="14.00390625" style="357" customWidth="1"/>
    <col min="5849" max="6091" width="10.140625" style="357" customWidth="1"/>
    <col min="6092" max="6104" width="14.00390625" style="357" customWidth="1"/>
    <col min="6105" max="6347" width="10.140625" style="357" customWidth="1"/>
    <col min="6348" max="6360" width="14.00390625" style="357" customWidth="1"/>
    <col min="6361" max="6603" width="10.140625" style="357" customWidth="1"/>
    <col min="6604" max="6616" width="14.00390625" style="357" customWidth="1"/>
    <col min="6617" max="6859" width="10.140625" style="357" customWidth="1"/>
    <col min="6860" max="6872" width="14.00390625" style="357" customWidth="1"/>
    <col min="6873" max="7115" width="10.140625" style="357" customWidth="1"/>
    <col min="7116" max="7128" width="14.00390625" style="357" customWidth="1"/>
    <col min="7129" max="7371" width="10.140625" style="357" customWidth="1"/>
    <col min="7372" max="7384" width="14.00390625" style="357" customWidth="1"/>
    <col min="7385" max="7627" width="10.140625" style="357" customWidth="1"/>
    <col min="7628" max="7640" width="14.00390625" style="357" customWidth="1"/>
    <col min="7641" max="7883" width="10.140625" style="357" customWidth="1"/>
    <col min="7884" max="7896" width="14.00390625" style="357" customWidth="1"/>
    <col min="7897" max="8139" width="10.140625" style="357" customWidth="1"/>
    <col min="8140" max="8152" width="14.00390625" style="357" customWidth="1"/>
    <col min="8153" max="8395" width="10.140625" style="357" customWidth="1"/>
    <col min="8396" max="8408" width="14.00390625" style="357" customWidth="1"/>
    <col min="8409" max="8651" width="10.140625" style="357" customWidth="1"/>
    <col min="8652" max="8664" width="14.00390625" style="357" customWidth="1"/>
    <col min="8665" max="8907" width="10.140625" style="357" customWidth="1"/>
    <col min="8908" max="8920" width="14.00390625" style="357" customWidth="1"/>
    <col min="8921" max="9163" width="10.140625" style="357" customWidth="1"/>
    <col min="9164" max="9176" width="14.00390625" style="357" customWidth="1"/>
    <col min="9177" max="9419" width="10.140625" style="357" customWidth="1"/>
    <col min="9420" max="9432" width="14.00390625" style="357" customWidth="1"/>
    <col min="9433" max="9675" width="10.140625" style="357" customWidth="1"/>
    <col min="9676" max="9688" width="14.00390625" style="357" customWidth="1"/>
    <col min="9689" max="9931" width="10.140625" style="357" customWidth="1"/>
    <col min="9932" max="9944" width="14.00390625" style="357" customWidth="1"/>
    <col min="9945" max="10187" width="10.140625" style="357" customWidth="1"/>
    <col min="10188" max="10200" width="14.00390625" style="357" customWidth="1"/>
    <col min="10201" max="10443" width="10.140625" style="357" customWidth="1"/>
    <col min="10444" max="10456" width="14.00390625" style="357" customWidth="1"/>
    <col min="10457" max="10699" width="10.140625" style="357" customWidth="1"/>
    <col min="10700" max="10712" width="14.00390625" style="357" customWidth="1"/>
    <col min="10713" max="10955" width="10.140625" style="357" customWidth="1"/>
    <col min="10956" max="10968" width="14.00390625" style="357" customWidth="1"/>
    <col min="10969" max="11211" width="10.140625" style="357" customWidth="1"/>
    <col min="11212" max="11224" width="14.00390625" style="357" customWidth="1"/>
    <col min="11225" max="11467" width="10.140625" style="357" customWidth="1"/>
    <col min="11468" max="11480" width="14.00390625" style="357" customWidth="1"/>
    <col min="11481" max="11723" width="10.140625" style="357" customWidth="1"/>
    <col min="11724" max="11736" width="14.00390625" style="357" customWidth="1"/>
    <col min="11737" max="11979" width="10.140625" style="357" customWidth="1"/>
    <col min="11980" max="11992" width="14.00390625" style="357" customWidth="1"/>
    <col min="11993" max="12235" width="10.140625" style="357" customWidth="1"/>
    <col min="12236" max="12248" width="14.00390625" style="357" customWidth="1"/>
    <col min="12249" max="12491" width="10.140625" style="357" customWidth="1"/>
    <col min="12492" max="12504" width="14.00390625" style="357" customWidth="1"/>
    <col min="12505" max="12747" width="10.140625" style="357" customWidth="1"/>
    <col min="12748" max="12760" width="14.00390625" style="357" customWidth="1"/>
    <col min="12761" max="13003" width="10.140625" style="357" customWidth="1"/>
    <col min="13004" max="13016" width="14.00390625" style="357" customWidth="1"/>
    <col min="13017" max="13259" width="10.140625" style="357" customWidth="1"/>
    <col min="13260" max="13272" width="14.00390625" style="357" customWidth="1"/>
    <col min="13273" max="13515" width="10.140625" style="357" customWidth="1"/>
    <col min="13516" max="13528" width="14.00390625" style="357" customWidth="1"/>
    <col min="13529" max="13771" width="10.140625" style="357" customWidth="1"/>
    <col min="13772" max="13784" width="14.00390625" style="357" customWidth="1"/>
    <col min="13785" max="14027" width="10.140625" style="357" customWidth="1"/>
    <col min="14028" max="14040" width="14.00390625" style="357" customWidth="1"/>
    <col min="14041" max="14283" width="10.140625" style="357" customWidth="1"/>
    <col min="14284" max="14296" width="14.00390625" style="357" customWidth="1"/>
    <col min="14297" max="14539" width="10.140625" style="357" customWidth="1"/>
    <col min="14540" max="14552" width="14.00390625" style="357" customWidth="1"/>
    <col min="14553" max="14795" width="10.140625" style="357" customWidth="1"/>
    <col min="14796" max="14808" width="14.00390625" style="357" customWidth="1"/>
    <col min="14809" max="15051" width="10.140625" style="357" customWidth="1"/>
    <col min="15052" max="15064" width="14.00390625" style="357" customWidth="1"/>
    <col min="15065" max="15307" width="10.140625" style="357" customWidth="1"/>
    <col min="15308" max="15320" width="14.00390625" style="357" customWidth="1"/>
    <col min="15321" max="15563" width="10.140625" style="357" customWidth="1"/>
    <col min="15564" max="15576" width="14.00390625" style="357" customWidth="1"/>
    <col min="15577" max="15819" width="10.140625" style="357" customWidth="1"/>
    <col min="15820" max="15832" width="14.00390625" style="357" customWidth="1"/>
    <col min="15833" max="16075" width="10.140625" style="357" customWidth="1"/>
    <col min="16076" max="16088" width="14.00390625" style="357" customWidth="1"/>
    <col min="16089" max="16384" width="10.140625" style="357" customWidth="1"/>
  </cols>
  <sheetData>
    <row r="1" spans="6:76" ht="17.25" customHeight="1">
      <c r="F1" s="479" t="s">
        <v>217</v>
      </c>
      <c r="G1" s="470"/>
      <c r="H1" s="470"/>
      <c r="I1" s="480"/>
      <c r="J1" s="480"/>
      <c r="L1" s="479" t="s">
        <v>218</v>
      </c>
      <c r="M1" s="479" t="s">
        <v>219</v>
      </c>
      <c r="N1" s="360"/>
      <c r="P1" s="359"/>
      <c r="Q1" s="361"/>
      <c r="R1" s="479" t="s">
        <v>220</v>
      </c>
      <c r="S1" s="479" t="s">
        <v>221</v>
      </c>
      <c r="T1" s="360"/>
      <c r="V1" s="359"/>
      <c r="W1" s="361"/>
      <c r="X1" s="479" t="s">
        <v>222</v>
      </c>
      <c r="Y1" s="479" t="s">
        <v>223</v>
      </c>
      <c r="Z1" s="360"/>
      <c r="AB1" s="359"/>
      <c r="AC1" s="361"/>
      <c r="AD1" s="479" t="s">
        <v>217</v>
      </c>
      <c r="AF1" s="360"/>
      <c r="AH1" s="359"/>
      <c r="AI1" s="361"/>
      <c r="AJ1" s="479" t="s">
        <v>217</v>
      </c>
      <c r="AL1" s="360"/>
      <c r="AN1" s="359"/>
      <c r="AO1" s="361"/>
      <c r="AP1" s="479" t="s">
        <v>224</v>
      </c>
      <c r="AQ1" s="479" t="s">
        <v>225</v>
      </c>
      <c r="AR1" s="360"/>
      <c r="AT1" s="359"/>
      <c r="AU1" s="361"/>
      <c r="AV1" s="479" t="s">
        <v>226</v>
      </c>
      <c r="AW1" s="479" t="s">
        <v>227</v>
      </c>
      <c r="AX1" s="481" t="s">
        <v>228</v>
      </c>
      <c r="AZ1" s="359"/>
      <c r="BA1" s="361"/>
      <c r="BB1" s="479" t="s">
        <v>229</v>
      </c>
      <c r="BC1" s="479" t="s">
        <v>230</v>
      </c>
      <c r="BD1" s="360"/>
      <c r="BF1" s="359"/>
      <c r="BG1" s="361"/>
      <c r="BH1" s="482" t="s">
        <v>231</v>
      </c>
      <c r="BI1" s="483"/>
      <c r="BJ1" s="360"/>
      <c r="BL1" s="359"/>
      <c r="BN1" s="482" t="s">
        <v>231</v>
      </c>
      <c r="BO1" s="483"/>
      <c r="BP1" s="360"/>
      <c r="BR1" s="359"/>
      <c r="BT1" s="482" t="s">
        <v>231</v>
      </c>
      <c r="BU1" s="483"/>
      <c r="BV1" s="360"/>
      <c r="BX1" s="359"/>
    </row>
    <row r="2" spans="2:76" ht="15" customHeight="1">
      <c r="B2" s="362"/>
      <c r="C2" s="363"/>
      <c r="D2" s="363"/>
      <c r="E2" s="357"/>
      <c r="F2" s="856" t="s">
        <v>3</v>
      </c>
      <c r="G2" s="856"/>
      <c r="H2" s="856"/>
      <c r="I2" s="856"/>
      <c r="J2" s="484"/>
      <c r="L2" s="730" t="s">
        <v>3</v>
      </c>
      <c r="M2" s="730"/>
      <c r="N2" s="730"/>
      <c r="O2" s="730"/>
      <c r="P2" s="365"/>
      <c r="Q2" s="357"/>
      <c r="R2" s="730" t="s">
        <v>3</v>
      </c>
      <c r="S2" s="730"/>
      <c r="T2" s="730"/>
      <c r="U2" s="730"/>
      <c r="V2" s="365"/>
      <c r="W2" s="357"/>
      <c r="X2" s="730" t="s">
        <v>3</v>
      </c>
      <c r="Y2" s="730"/>
      <c r="Z2" s="730"/>
      <c r="AA2" s="730"/>
      <c r="AB2" s="365"/>
      <c r="AC2" s="357"/>
      <c r="AD2" s="730" t="s">
        <v>3</v>
      </c>
      <c r="AE2" s="730"/>
      <c r="AF2" s="730"/>
      <c r="AG2" s="730"/>
      <c r="AH2" s="365"/>
      <c r="AI2" s="357"/>
      <c r="AJ2" s="730" t="s">
        <v>3</v>
      </c>
      <c r="AK2" s="730"/>
      <c r="AL2" s="730"/>
      <c r="AM2" s="730"/>
      <c r="AN2" s="365"/>
      <c r="AO2" s="357"/>
      <c r="AP2" s="730" t="s">
        <v>3</v>
      </c>
      <c r="AQ2" s="730"/>
      <c r="AR2" s="730"/>
      <c r="AS2" s="730"/>
      <c r="AT2" s="365"/>
      <c r="AU2" s="357"/>
      <c r="AV2" s="730" t="s">
        <v>3</v>
      </c>
      <c r="AW2" s="730"/>
      <c r="AX2" s="730"/>
      <c r="AY2" s="730"/>
      <c r="AZ2" s="365"/>
      <c r="BA2" s="357"/>
      <c r="BB2" s="730" t="s">
        <v>3</v>
      </c>
      <c r="BC2" s="730"/>
      <c r="BD2" s="730"/>
      <c r="BE2" s="730"/>
      <c r="BF2" s="365"/>
      <c r="BG2" s="357"/>
      <c r="BH2" s="856" t="s">
        <v>3</v>
      </c>
      <c r="BI2" s="856"/>
      <c r="BJ2" s="856"/>
      <c r="BK2" s="856"/>
      <c r="BL2" s="484"/>
      <c r="BM2" s="385"/>
      <c r="BN2" s="856" t="s">
        <v>3</v>
      </c>
      <c r="BO2" s="856"/>
      <c r="BP2" s="856"/>
      <c r="BQ2" s="856"/>
      <c r="BR2" s="484"/>
      <c r="BS2" s="385"/>
      <c r="BT2" s="856" t="s">
        <v>3</v>
      </c>
      <c r="BU2" s="856"/>
      <c r="BV2" s="856"/>
      <c r="BW2" s="856"/>
      <c r="BX2" s="484"/>
    </row>
    <row r="3" spans="2:76" s="486" customFormat="1" ht="15" customHeight="1">
      <c r="B3" s="485"/>
      <c r="F3" s="854" t="s">
        <v>232</v>
      </c>
      <c r="G3" s="854"/>
      <c r="H3" s="854"/>
      <c r="I3" s="854"/>
      <c r="J3" s="487" t="s">
        <v>233</v>
      </c>
      <c r="K3" s="488" t="s">
        <v>234</v>
      </c>
      <c r="L3" s="853" t="s">
        <v>235</v>
      </c>
      <c r="M3" s="853"/>
      <c r="N3" s="853"/>
      <c r="O3" s="853"/>
      <c r="P3" s="489" t="s">
        <v>236</v>
      </c>
      <c r="R3" s="853" t="s">
        <v>237</v>
      </c>
      <c r="S3" s="853"/>
      <c r="T3" s="853"/>
      <c r="U3" s="853"/>
      <c r="V3" s="489" t="s">
        <v>238</v>
      </c>
      <c r="X3" s="853" t="s">
        <v>239</v>
      </c>
      <c r="Y3" s="853"/>
      <c r="Z3" s="853"/>
      <c r="AA3" s="853"/>
      <c r="AB3" s="489" t="s">
        <v>240</v>
      </c>
      <c r="AD3" s="855" t="s">
        <v>241</v>
      </c>
      <c r="AE3" s="855"/>
      <c r="AF3" s="855"/>
      <c r="AG3" s="855"/>
      <c r="AH3" s="490"/>
      <c r="AI3" s="491"/>
      <c r="AJ3" s="855" t="s">
        <v>241</v>
      </c>
      <c r="AK3" s="855"/>
      <c r="AL3" s="855"/>
      <c r="AM3" s="855"/>
      <c r="AN3" s="490"/>
      <c r="AP3" s="853" t="s">
        <v>242</v>
      </c>
      <c r="AQ3" s="853"/>
      <c r="AR3" s="853"/>
      <c r="AS3" s="853"/>
      <c r="AT3" s="489" t="s">
        <v>243</v>
      </c>
      <c r="AV3" s="853" t="s">
        <v>244</v>
      </c>
      <c r="AW3" s="853"/>
      <c r="AX3" s="853"/>
      <c r="AY3" s="853"/>
      <c r="AZ3" s="489" t="s">
        <v>245</v>
      </c>
      <c r="BB3" s="853" t="s">
        <v>246</v>
      </c>
      <c r="BC3" s="853"/>
      <c r="BD3" s="853"/>
      <c r="BE3" s="853"/>
      <c r="BF3" s="489" t="s">
        <v>238</v>
      </c>
      <c r="BH3" s="854" t="s">
        <v>247</v>
      </c>
      <c r="BI3" s="854"/>
      <c r="BJ3" s="854"/>
      <c r="BK3" s="854"/>
      <c r="BL3" s="492" t="s">
        <v>248</v>
      </c>
      <c r="BM3" s="493"/>
      <c r="BN3" s="854" t="s">
        <v>249</v>
      </c>
      <c r="BO3" s="854"/>
      <c r="BP3" s="854"/>
      <c r="BQ3" s="854"/>
      <c r="BR3" s="492" t="s">
        <v>250</v>
      </c>
      <c r="BS3" s="493"/>
      <c r="BT3" s="854" t="s">
        <v>247</v>
      </c>
      <c r="BU3" s="854"/>
      <c r="BV3" s="854"/>
      <c r="BW3" s="854"/>
      <c r="BX3" s="492" t="s">
        <v>251</v>
      </c>
    </row>
    <row r="4" spans="2:76" s="486" customFormat="1" ht="15" customHeight="1">
      <c r="B4" s="485"/>
      <c r="F4" s="854" t="s">
        <v>252</v>
      </c>
      <c r="G4" s="854"/>
      <c r="H4" s="854"/>
      <c r="I4" s="854"/>
      <c r="J4" s="494"/>
      <c r="L4" s="853" t="s">
        <v>253</v>
      </c>
      <c r="M4" s="853"/>
      <c r="N4" s="853"/>
      <c r="O4" s="853"/>
      <c r="P4" s="489"/>
      <c r="R4" s="853" t="s">
        <v>254</v>
      </c>
      <c r="S4" s="853"/>
      <c r="T4" s="853"/>
      <c r="U4" s="853"/>
      <c r="V4" s="489"/>
      <c r="X4" s="853" t="s">
        <v>255</v>
      </c>
      <c r="Y4" s="853"/>
      <c r="Z4" s="853"/>
      <c r="AA4" s="853"/>
      <c r="AB4" s="489"/>
      <c r="AD4" s="855" t="s">
        <v>256</v>
      </c>
      <c r="AE4" s="855"/>
      <c r="AF4" s="855"/>
      <c r="AG4" s="855"/>
      <c r="AH4" s="490"/>
      <c r="AI4" s="491"/>
      <c r="AJ4" s="855" t="s">
        <v>257</v>
      </c>
      <c r="AK4" s="855"/>
      <c r="AL4" s="855"/>
      <c r="AM4" s="855"/>
      <c r="AN4" s="490"/>
      <c r="AP4" s="853" t="s">
        <v>258</v>
      </c>
      <c r="AQ4" s="853"/>
      <c r="AR4" s="853"/>
      <c r="AS4" s="853"/>
      <c r="AT4" s="489"/>
      <c r="AV4" s="853" t="s">
        <v>259</v>
      </c>
      <c r="AW4" s="853"/>
      <c r="AX4" s="853"/>
      <c r="AY4" s="853"/>
      <c r="AZ4" s="489"/>
      <c r="BB4" s="853" t="s">
        <v>260</v>
      </c>
      <c r="BC4" s="853"/>
      <c r="BD4" s="853"/>
      <c r="BE4" s="853"/>
      <c r="BF4" s="489"/>
      <c r="BH4" s="854" t="s">
        <v>257</v>
      </c>
      <c r="BI4" s="854"/>
      <c r="BJ4" s="854"/>
      <c r="BK4" s="854"/>
      <c r="BL4" s="494"/>
      <c r="BM4" s="493"/>
      <c r="BN4" s="854" t="s">
        <v>252</v>
      </c>
      <c r="BO4" s="854"/>
      <c r="BP4" s="854"/>
      <c r="BQ4" s="854"/>
      <c r="BR4" s="494"/>
      <c r="BS4" s="493"/>
      <c r="BT4" s="854" t="s">
        <v>256</v>
      </c>
      <c r="BU4" s="854"/>
      <c r="BV4" s="854"/>
      <c r="BW4" s="854"/>
      <c r="BX4" s="494"/>
    </row>
    <row r="5" spans="2:76" ht="15" customHeight="1">
      <c r="B5" s="726"/>
      <c r="C5" s="363"/>
      <c r="D5" s="363"/>
      <c r="E5" s="357"/>
      <c r="F5" s="495" t="s">
        <v>186</v>
      </c>
      <c r="G5" s="495" t="s">
        <v>187</v>
      </c>
      <c r="H5" s="495" t="s">
        <v>188</v>
      </c>
      <c r="I5" s="496" t="s">
        <v>4</v>
      </c>
      <c r="J5" s="496" t="s">
        <v>5</v>
      </c>
      <c r="L5" s="373" t="s">
        <v>186</v>
      </c>
      <c r="M5" s="373" t="s">
        <v>187</v>
      </c>
      <c r="N5" s="373" t="s">
        <v>188</v>
      </c>
      <c r="O5" s="374" t="s">
        <v>4</v>
      </c>
      <c r="P5" s="374" t="s">
        <v>5</v>
      </c>
      <c r="Q5" s="357"/>
      <c r="R5" s="373" t="s">
        <v>186</v>
      </c>
      <c r="S5" s="373" t="s">
        <v>187</v>
      </c>
      <c r="T5" s="373" t="s">
        <v>188</v>
      </c>
      <c r="U5" s="374" t="s">
        <v>4</v>
      </c>
      <c r="V5" s="374" t="s">
        <v>5</v>
      </c>
      <c r="W5" s="357"/>
      <c r="X5" s="373" t="s">
        <v>186</v>
      </c>
      <c r="Y5" s="373" t="s">
        <v>187</v>
      </c>
      <c r="Z5" s="373" t="s">
        <v>188</v>
      </c>
      <c r="AA5" s="374" t="s">
        <v>4</v>
      </c>
      <c r="AB5" s="374" t="s">
        <v>5</v>
      </c>
      <c r="AC5" s="357"/>
      <c r="AD5" s="497" t="s">
        <v>186</v>
      </c>
      <c r="AE5" s="497" t="s">
        <v>187</v>
      </c>
      <c r="AF5" s="497" t="s">
        <v>188</v>
      </c>
      <c r="AG5" s="498" t="s">
        <v>4</v>
      </c>
      <c r="AH5" s="498" t="s">
        <v>5</v>
      </c>
      <c r="AI5" s="499"/>
      <c r="AJ5" s="497" t="s">
        <v>186</v>
      </c>
      <c r="AK5" s="497" t="s">
        <v>187</v>
      </c>
      <c r="AL5" s="497" t="s">
        <v>188</v>
      </c>
      <c r="AM5" s="498" t="s">
        <v>4</v>
      </c>
      <c r="AN5" s="498" t="s">
        <v>5</v>
      </c>
      <c r="AO5" s="357"/>
      <c r="AP5" s="373" t="s">
        <v>186</v>
      </c>
      <c r="AQ5" s="373" t="s">
        <v>187</v>
      </c>
      <c r="AR5" s="373" t="s">
        <v>188</v>
      </c>
      <c r="AS5" s="374" t="s">
        <v>4</v>
      </c>
      <c r="AT5" s="374" t="s">
        <v>5</v>
      </c>
      <c r="AU5" s="357"/>
      <c r="AV5" s="373" t="s">
        <v>186</v>
      </c>
      <c r="AW5" s="373" t="s">
        <v>187</v>
      </c>
      <c r="AX5" s="373" t="s">
        <v>188</v>
      </c>
      <c r="AY5" s="374" t="s">
        <v>4</v>
      </c>
      <c r="AZ5" s="374" t="s">
        <v>5</v>
      </c>
      <c r="BA5" s="357"/>
      <c r="BB5" s="373" t="s">
        <v>186</v>
      </c>
      <c r="BC5" s="373" t="s">
        <v>187</v>
      </c>
      <c r="BD5" s="373" t="s">
        <v>188</v>
      </c>
      <c r="BE5" s="374" t="s">
        <v>4</v>
      </c>
      <c r="BF5" s="374" t="s">
        <v>5</v>
      </c>
      <c r="BG5" s="357"/>
      <c r="BH5" s="495" t="s">
        <v>186</v>
      </c>
      <c r="BI5" s="495" t="s">
        <v>187</v>
      </c>
      <c r="BJ5" s="495" t="s">
        <v>188</v>
      </c>
      <c r="BK5" s="496" t="s">
        <v>4</v>
      </c>
      <c r="BL5" s="496" t="s">
        <v>5</v>
      </c>
      <c r="BM5" s="385"/>
      <c r="BN5" s="495" t="s">
        <v>186</v>
      </c>
      <c r="BO5" s="495" t="s">
        <v>187</v>
      </c>
      <c r="BP5" s="495" t="s">
        <v>188</v>
      </c>
      <c r="BQ5" s="496" t="s">
        <v>4</v>
      </c>
      <c r="BR5" s="496" t="s">
        <v>5</v>
      </c>
      <c r="BS5" s="385"/>
      <c r="BT5" s="495" t="s">
        <v>186</v>
      </c>
      <c r="BU5" s="495" t="s">
        <v>187</v>
      </c>
      <c r="BV5" s="495" t="s">
        <v>188</v>
      </c>
      <c r="BW5" s="496" t="s">
        <v>4</v>
      </c>
      <c r="BX5" s="496" t="s">
        <v>5</v>
      </c>
    </row>
    <row r="6" spans="2:76" ht="8.25" customHeight="1">
      <c r="B6" s="726"/>
      <c r="C6" s="381"/>
      <c r="D6" s="381"/>
      <c r="F6" s="470"/>
      <c r="G6" s="470"/>
      <c r="H6" s="470"/>
      <c r="I6" s="500"/>
      <c r="J6" s="500"/>
      <c r="O6" s="383"/>
      <c r="P6" s="383"/>
      <c r="U6" s="383"/>
      <c r="V6" s="383"/>
      <c r="AA6" s="383"/>
      <c r="AB6" s="383"/>
      <c r="AD6" s="501"/>
      <c r="AE6" s="501"/>
      <c r="AF6" s="501"/>
      <c r="AG6" s="502"/>
      <c r="AH6" s="502"/>
      <c r="AI6" s="503"/>
      <c r="AJ6" s="501"/>
      <c r="AK6" s="501"/>
      <c r="AL6" s="501"/>
      <c r="AM6" s="502"/>
      <c r="AN6" s="502"/>
      <c r="AS6" s="383"/>
      <c r="AT6" s="383"/>
      <c r="AY6" s="383"/>
      <c r="AZ6" s="383"/>
      <c r="BE6" s="383"/>
      <c r="BF6" s="383"/>
      <c r="BH6" s="470"/>
      <c r="BI6" s="470"/>
      <c r="BJ6" s="470"/>
      <c r="BK6" s="500"/>
      <c r="BL6" s="500"/>
      <c r="BM6" s="385"/>
      <c r="BN6" s="470"/>
      <c r="BO6" s="470"/>
      <c r="BP6" s="470"/>
      <c r="BQ6" s="500"/>
      <c r="BR6" s="500"/>
      <c r="BS6" s="385"/>
      <c r="BT6" s="470"/>
      <c r="BU6" s="470"/>
      <c r="BV6" s="470"/>
      <c r="BW6" s="500"/>
      <c r="BX6" s="500"/>
    </row>
    <row r="7" spans="2:76" ht="15.75" hidden="1" outlineLevel="1">
      <c r="B7" s="386">
        <v>2016</v>
      </c>
      <c r="C7" s="387" t="s">
        <v>147</v>
      </c>
      <c r="D7" s="388">
        <v>31</v>
      </c>
      <c r="E7" s="389"/>
      <c r="F7" s="504"/>
      <c r="G7" s="505"/>
      <c r="H7" s="505"/>
      <c r="I7" s="506"/>
      <c r="J7" s="506"/>
      <c r="L7" s="391"/>
      <c r="M7" s="392"/>
      <c r="N7" s="392"/>
      <c r="O7" s="394"/>
      <c r="P7" s="394"/>
      <c r="Q7" s="389"/>
      <c r="R7" s="391"/>
      <c r="S7" s="392"/>
      <c r="T7" s="392"/>
      <c r="U7" s="394"/>
      <c r="V7" s="394"/>
      <c r="W7" s="389"/>
      <c r="X7" s="391"/>
      <c r="Y7" s="392"/>
      <c r="Z7" s="392"/>
      <c r="AA7" s="394"/>
      <c r="AB7" s="394"/>
      <c r="AC7" s="389"/>
      <c r="AD7" s="507"/>
      <c r="AE7" s="508"/>
      <c r="AF7" s="508"/>
      <c r="AG7" s="509"/>
      <c r="AH7" s="509"/>
      <c r="AI7" s="510"/>
      <c r="AJ7" s="507"/>
      <c r="AK7" s="508"/>
      <c r="AL7" s="508"/>
      <c r="AM7" s="509"/>
      <c r="AN7" s="509"/>
      <c r="AO7" s="389"/>
      <c r="AP7" s="391"/>
      <c r="AQ7" s="392"/>
      <c r="AR7" s="392"/>
      <c r="AS7" s="394"/>
      <c r="AT7" s="394"/>
      <c r="AU7" s="389"/>
      <c r="AV7" s="391"/>
      <c r="AW7" s="392"/>
      <c r="AX7" s="392"/>
      <c r="AY7" s="394"/>
      <c r="AZ7" s="394"/>
      <c r="BA7" s="389"/>
      <c r="BB7" s="511"/>
      <c r="BC7" s="392"/>
      <c r="BD7" s="392"/>
      <c r="BE7" s="394"/>
      <c r="BF7" s="394"/>
      <c r="BG7" s="389"/>
      <c r="BH7" s="512"/>
      <c r="BI7" s="505"/>
      <c r="BJ7" s="505"/>
      <c r="BK7" s="506"/>
      <c r="BL7" s="506"/>
      <c r="BM7" s="385"/>
      <c r="BN7" s="512"/>
      <c r="BO7" s="505"/>
      <c r="BP7" s="505"/>
      <c r="BQ7" s="506"/>
      <c r="BR7" s="506"/>
      <c r="BS7" s="385"/>
      <c r="BT7" s="512"/>
      <c r="BU7" s="505"/>
      <c r="BV7" s="505"/>
      <c r="BW7" s="506"/>
      <c r="BX7" s="506"/>
    </row>
    <row r="8" spans="3:76" ht="15" hidden="1" outlineLevel="1">
      <c r="C8" s="387" t="s">
        <v>148</v>
      </c>
      <c r="D8" s="388">
        <v>29</v>
      </c>
      <c r="E8" s="384"/>
      <c r="F8" s="504"/>
      <c r="G8" s="505"/>
      <c r="H8" s="505"/>
      <c r="I8" s="506"/>
      <c r="J8" s="506"/>
      <c r="L8" s="391"/>
      <c r="M8" s="392"/>
      <c r="N8" s="392"/>
      <c r="O8" s="394"/>
      <c r="P8" s="394"/>
      <c r="Q8" s="384"/>
      <c r="R8" s="391"/>
      <c r="S8" s="392"/>
      <c r="T8" s="392"/>
      <c r="U8" s="394"/>
      <c r="V8" s="394"/>
      <c r="W8" s="384"/>
      <c r="X8" s="391"/>
      <c r="Y8" s="392"/>
      <c r="Z8" s="392"/>
      <c r="AA8" s="394"/>
      <c r="AB8" s="394"/>
      <c r="AC8" s="384"/>
      <c r="AD8" s="507"/>
      <c r="AE8" s="508"/>
      <c r="AF8" s="508"/>
      <c r="AG8" s="509"/>
      <c r="AH8" s="509"/>
      <c r="AI8" s="513"/>
      <c r="AJ8" s="507"/>
      <c r="AK8" s="508"/>
      <c r="AL8" s="508"/>
      <c r="AM8" s="509"/>
      <c r="AN8" s="509"/>
      <c r="AO8" s="384"/>
      <c r="AP8" s="391"/>
      <c r="AQ8" s="392"/>
      <c r="AR8" s="392"/>
      <c r="AS8" s="394"/>
      <c r="AT8" s="394"/>
      <c r="AU8" s="384"/>
      <c r="AV8" s="391"/>
      <c r="AW8" s="392"/>
      <c r="AX8" s="392"/>
      <c r="AY8" s="394"/>
      <c r="AZ8" s="394"/>
      <c r="BA8" s="384"/>
      <c r="BB8" s="511"/>
      <c r="BC8" s="392"/>
      <c r="BD8" s="392"/>
      <c r="BE8" s="394"/>
      <c r="BF8" s="394"/>
      <c r="BG8" s="384"/>
      <c r="BH8" s="512"/>
      <c r="BI8" s="505"/>
      <c r="BJ8" s="505"/>
      <c r="BK8" s="506"/>
      <c r="BL8" s="506"/>
      <c r="BM8" s="385"/>
      <c r="BN8" s="512"/>
      <c r="BO8" s="505"/>
      <c r="BP8" s="505"/>
      <c r="BQ8" s="506"/>
      <c r="BR8" s="506"/>
      <c r="BS8" s="385"/>
      <c r="BT8" s="512"/>
      <c r="BU8" s="505"/>
      <c r="BV8" s="505"/>
      <c r="BW8" s="506"/>
      <c r="BX8" s="506"/>
    </row>
    <row r="9" spans="3:76" ht="15" hidden="1" outlineLevel="1">
      <c r="C9" s="387" t="s">
        <v>149</v>
      </c>
      <c r="D9" s="388">
        <v>31</v>
      </c>
      <c r="E9" s="384"/>
      <c r="F9" s="504"/>
      <c r="G9" s="505"/>
      <c r="H9" s="505"/>
      <c r="I9" s="506"/>
      <c r="J9" s="506"/>
      <c r="L9" s="391"/>
      <c r="M9" s="392"/>
      <c r="N9" s="392"/>
      <c r="O9" s="394"/>
      <c r="P9" s="394"/>
      <c r="Q9" s="384"/>
      <c r="R9" s="391"/>
      <c r="S9" s="392"/>
      <c r="T9" s="392"/>
      <c r="U9" s="394"/>
      <c r="V9" s="394"/>
      <c r="W9" s="384"/>
      <c r="X9" s="391"/>
      <c r="Y9" s="392"/>
      <c r="Z9" s="392"/>
      <c r="AA9" s="394"/>
      <c r="AB9" s="394"/>
      <c r="AC9" s="384"/>
      <c r="AD9" s="507"/>
      <c r="AE9" s="508"/>
      <c r="AF9" s="508"/>
      <c r="AG9" s="509"/>
      <c r="AH9" s="509"/>
      <c r="AI9" s="513"/>
      <c r="AJ9" s="507"/>
      <c r="AK9" s="508"/>
      <c r="AL9" s="508"/>
      <c r="AM9" s="509"/>
      <c r="AN9" s="509"/>
      <c r="AO9" s="384"/>
      <c r="AP9" s="391"/>
      <c r="AQ9" s="392"/>
      <c r="AR9" s="392"/>
      <c r="AS9" s="394"/>
      <c r="AT9" s="394"/>
      <c r="AU9" s="384"/>
      <c r="AV9" s="391"/>
      <c r="AW9" s="392"/>
      <c r="AX9" s="392"/>
      <c r="AY9" s="394"/>
      <c r="AZ9" s="394"/>
      <c r="BA9" s="384"/>
      <c r="BB9" s="511"/>
      <c r="BC9" s="392"/>
      <c r="BD9" s="392"/>
      <c r="BE9" s="394"/>
      <c r="BF9" s="394"/>
      <c r="BG9" s="384"/>
      <c r="BH9" s="512"/>
      <c r="BI9" s="505"/>
      <c r="BJ9" s="505"/>
      <c r="BK9" s="506"/>
      <c r="BL9" s="506"/>
      <c r="BM9" s="385"/>
      <c r="BN9" s="512"/>
      <c r="BO9" s="505"/>
      <c r="BP9" s="505"/>
      <c r="BQ9" s="506"/>
      <c r="BR9" s="506"/>
      <c r="BS9" s="385"/>
      <c r="BT9" s="512"/>
      <c r="BU9" s="505"/>
      <c r="BV9" s="505"/>
      <c r="BW9" s="506"/>
      <c r="BX9" s="506"/>
    </row>
    <row r="10" spans="3:76" ht="15" hidden="1" outlineLevel="1">
      <c r="C10" s="387" t="s">
        <v>150</v>
      </c>
      <c r="D10" s="388">
        <v>30</v>
      </c>
      <c r="E10" s="384"/>
      <c r="F10" s="504"/>
      <c r="G10" s="505"/>
      <c r="H10" s="505"/>
      <c r="I10" s="506"/>
      <c r="J10" s="506"/>
      <c r="L10" s="391"/>
      <c r="M10" s="392"/>
      <c r="N10" s="392"/>
      <c r="O10" s="394"/>
      <c r="P10" s="394"/>
      <c r="Q10" s="384"/>
      <c r="R10" s="391"/>
      <c r="S10" s="392"/>
      <c r="T10" s="392"/>
      <c r="U10" s="394"/>
      <c r="V10" s="394"/>
      <c r="W10" s="384"/>
      <c r="X10" s="391"/>
      <c r="Y10" s="392"/>
      <c r="Z10" s="392"/>
      <c r="AA10" s="394"/>
      <c r="AB10" s="394"/>
      <c r="AC10" s="384"/>
      <c r="AD10" s="507"/>
      <c r="AE10" s="508"/>
      <c r="AF10" s="508"/>
      <c r="AG10" s="509"/>
      <c r="AH10" s="509"/>
      <c r="AI10" s="513"/>
      <c r="AJ10" s="507"/>
      <c r="AK10" s="508"/>
      <c r="AL10" s="508"/>
      <c r="AM10" s="509"/>
      <c r="AN10" s="509"/>
      <c r="AO10" s="384"/>
      <c r="AP10" s="391"/>
      <c r="AQ10" s="392"/>
      <c r="AR10" s="392"/>
      <c r="AS10" s="394"/>
      <c r="AT10" s="394"/>
      <c r="AU10" s="384"/>
      <c r="AV10" s="391"/>
      <c r="AW10" s="392"/>
      <c r="AX10" s="392"/>
      <c r="AY10" s="394"/>
      <c r="AZ10" s="394"/>
      <c r="BA10" s="384"/>
      <c r="BB10" s="511"/>
      <c r="BC10" s="392"/>
      <c r="BD10" s="392"/>
      <c r="BE10" s="394"/>
      <c r="BF10" s="394"/>
      <c r="BG10" s="384"/>
      <c r="BH10" s="512"/>
      <c r="BI10" s="505"/>
      <c r="BJ10" s="505"/>
      <c r="BK10" s="506"/>
      <c r="BL10" s="506"/>
      <c r="BM10" s="385"/>
      <c r="BN10" s="512"/>
      <c r="BO10" s="505"/>
      <c r="BP10" s="505"/>
      <c r="BQ10" s="506"/>
      <c r="BR10" s="506"/>
      <c r="BS10" s="385"/>
      <c r="BT10" s="512"/>
      <c r="BU10" s="505"/>
      <c r="BV10" s="505"/>
      <c r="BW10" s="506"/>
      <c r="BX10" s="506"/>
    </row>
    <row r="11" spans="3:76" ht="15" hidden="1" outlineLevel="1">
      <c r="C11" s="387" t="s">
        <v>151</v>
      </c>
      <c r="D11" s="388">
        <v>31</v>
      </c>
      <c r="E11" s="384"/>
      <c r="F11" s="504"/>
      <c r="G11" s="505"/>
      <c r="H11" s="505"/>
      <c r="I11" s="506"/>
      <c r="J11" s="506"/>
      <c r="L11" s="391"/>
      <c r="M11" s="392"/>
      <c r="N11" s="392"/>
      <c r="O11" s="394"/>
      <c r="P11" s="394"/>
      <c r="Q11" s="384"/>
      <c r="R11" s="391"/>
      <c r="S11" s="392"/>
      <c r="T11" s="392"/>
      <c r="U11" s="394"/>
      <c r="V11" s="394"/>
      <c r="W11" s="384"/>
      <c r="X11" s="391"/>
      <c r="Y11" s="392"/>
      <c r="Z11" s="392"/>
      <c r="AA11" s="394"/>
      <c r="AB11" s="394"/>
      <c r="AC11" s="384"/>
      <c r="AD11" s="507"/>
      <c r="AE11" s="508"/>
      <c r="AF11" s="508"/>
      <c r="AG11" s="509"/>
      <c r="AH11" s="509"/>
      <c r="AI11" s="513"/>
      <c r="AJ11" s="507"/>
      <c r="AK11" s="508"/>
      <c r="AL11" s="508"/>
      <c r="AM11" s="509"/>
      <c r="AN11" s="509"/>
      <c r="AO11" s="384"/>
      <c r="AP11" s="391"/>
      <c r="AQ11" s="392"/>
      <c r="AR11" s="392"/>
      <c r="AS11" s="394"/>
      <c r="AT11" s="394"/>
      <c r="AU11" s="384"/>
      <c r="AV11" s="391"/>
      <c r="AW11" s="392"/>
      <c r="AX11" s="392"/>
      <c r="AY11" s="394"/>
      <c r="AZ11" s="394"/>
      <c r="BA11" s="384"/>
      <c r="BB11" s="511"/>
      <c r="BC11" s="392"/>
      <c r="BD11" s="392"/>
      <c r="BE11" s="394"/>
      <c r="BF11" s="394"/>
      <c r="BG11" s="384"/>
      <c r="BH11" s="512"/>
      <c r="BI11" s="505"/>
      <c r="BJ11" s="505"/>
      <c r="BK11" s="506"/>
      <c r="BL11" s="506"/>
      <c r="BM11" s="385"/>
      <c r="BN11" s="512"/>
      <c r="BO11" s="505"/>
      <c r="BP11" s="505"/>
      <c r="BQ11" s="506"/>
      <c r="BR11" s="506"/>
      <c r="BS11" s="385"/>
      <c r="BT11" s="512"/>
      <c r="BU11" s="505"/>
      <c r="BV11" s="505"/>
      <c r="BW11" s="506"/>
      <c r="BX11" s="506"/>
    </row>
    <row r="12" spans="3:76" ht="15" hidden="1" outlineLevel="1">
      <c r="C12" s="387" t="s">
        <v>152</v>
      </c>
      <c r="D12" s="388">
        <v>30</v>
      </c>
      <c r="E12" s="384"/>
      <c r="F12" s="504"/>
      <c r="G12" s="505"/>
      <c r="H12" s="505"/>
      <c r="I12" s="506"/>
      <c r="J12" s="506"/>
      <c r="L12" s="391"/>
      <c r="M12" s="392"/>
      <c r="N12" s="392"/>
      <c r="O12" s="394"/>
      <c r="P12" s="394"/>
      <c r="Q12" s="384"/>
      <c r="R12" s="391"/>
      <c r="S12" s="392"/>
      <c r="T12" s="392"/>
      <c r="U12" s="394"/>
      <c r="V12" s="394"/>
      <c r="W12" s="384"/>
      <c r="X12" s="391"/>
      <c r="Y12" s="392"/>
      <c r="Z12" s="392"/>
      <c r="AA12" s="394"/>
      <c r="AB12" s="394"/>
      <c r="AC12" s="384"/>
      <c r="AD12" s="507"/>
      <c r="AE12" s="508"/>
      <c r="AF12" s="508"/>
      <c r="AG12" s="509"/>
      <c r="AH12" s="509"/>
      <c r="AI12" s="513"/>
      <c r="AJ12" s="507"/>
      <c r="AK12" s="508"/>
      <c r="AL12" s="508"/>
      <c r="AM12" s="509"/>
      <c r="AN12" s="509"/>
      <c r="AO12" s="384"/>
      <c r="AP12" s="391"/>
      <c r="AQ12" s="392"/>
      <c r="AR12" s="392"/>
      <c r="AS12" s="394"/>
      <c r="AT12" s="394"/>
      <c r="AU12" s="384"/>
      <c r="AV12" s="391"/>
      <c r="AW12" s="392"/>
      <c r="AX12" s="392"/>
      <c r="AY12" s="394"/>
      <c r="AZ12" s="394"/>
      <c r="BA12" s="384"/>
      <c r="BB12" s="511"/>
      <c r="BC12" s="392"/>
      <c r="BD12" s="392"/>
      <c r="BE12" s="394"/>
      <c r="BF12" s="394"/>
      <c r="BG12" s="384"/>
      <c r="BH12" s="512"/>
      <c r="BI12" s="505"/>
      <c r="BJ12" s="505"/>
      <c r="BK12" s="506"/>
      <c r="BL12" s="506"/>
      <c r="BM12" s="385"/>
      <c r="BN12" s="512"/>
      <c r="BO12" s="505"/>
      <c r="BP12" s="505"/>
      <c r="BQ12" s="506"/>
      <c r="BR12" s="506"/>
      <c r="BS12" s="385"/>
      <c r="BT12" s="512"/>
      <c r="BU12" s="505"/>
      <c r="BV12" s="505"/>
      <c r="BW12" s="506"/>
      <c r="BX12" s="506"/>
    </row>
    <row r="13" spans="3:76" ht="15" hidden="1" outlineLevel="1">
      <c r="C13" s="387" t="s">
        <v>153</v>
      </c>
      <c r="D13" s="388">
        <v>31</v>
      </c>
      <c r="E13" s="384"/>
      <c r="F13" s="504"/>
      <c r="G13" s="505"/>
      <c r="H13" s="505"/>
      <c r="I13" s="506"/>
      <c r="J13" s="506"/>
      <c r="L13" s="391"/>
      <c r="M13" s="392"/>
      <c r="N13" s="392"/>
      <c r="O13" s="394"/>
      <c r="P13" s="394"/>
      <c r="Q13" s="384"/>
      <c r="R13" s="391"/>
      <c r="S13" s="392"/>
      <c r="T13" s="392"/>
      <c r="U13" s="394"/>
      <c r="V13" s="394"/>
      <c r="W13" s="384"/>
      <c r="X13" s="391"/>
      <c r="Y13" s="392"/>
      <c r="Z13" s="392"/>
      <c r="AA13" s="394"/>
      <c r="AB13" s="394"/>
      <c r="AC13" s="384"/>
      <c r="AD13" s="507"/>
      <c r="AE13" s="508"/>
      <c r="AF13" s="508"/>
      <c r="AG13" s="509"/>
      <c r="AH13" s="509"/>
      <c r="AI13" s="513"/>
      <c r="AJ13" s="507"/>
      <c r="AK13" s="508"/>
      <c r="AL13" s="508"/>
      <c r="AM13" s="509"/>
      <c r="AN13" s="509"/>
      <c r="AO13" s="384"/>
      <c r="AP13" s="391"/>
      <c r="AQ13" s="392"/>
      <c r="AR13" s="392"/>
      <c r="AS13" s="394"/>
      <c r="AT13" s="394"/>
      <c r="AU13" s="384"/>
      <c r="AV13" s="391"/>
      <c r="AW13" s="392"/>
      <c r="AX13" s="392"/>
      <c r="AY13" s="394"/>
      <c r="AZ13" s="394"/>
      <c r="BA13" s="384"/>
      <c r="BB13" s="511"/>
      <c r="BC13" s="392"/>
      <c r="BD13" s="392"/>
      <c r="BE13" s="394"/>
      <c r="BF13" s="394"/>
      <c r="BG13" s="384"/>
      <c r="BH13" s="512"/>
      <c r="BI13" s="505"/>
      <c r="BJ13" s="505"/>
      <c r="BK13" s="506"/>
      <c r="BL13" s="506"/>
      <c r="BM13" s="385"/>
      <c r="BN13" s="512"/>
      <c r="BO13" s="505"/>
      <c r="BP13" s="505"/>
      <c r="BQ13" s="506"/>
      <c r="BR13" s="506"/>
      <c r="BS13" s="385"/>
      <c r="BT13" s="512"/>
      <c r="BU13" s="505"/>
      <c r="BV13" s="505"/>
      <c r="BW13" s="506"/>
      <c r="BX13" s="506"/>
    </row>
    <row r="14" spans="3:76" ht="15" hidden="1" outlineLevel="1">
      <c r="C14" s="387" t="s">
        <v>154</v>
      </c>
      <c r="D14" s="388">
        <v>31</v>
      </c>
      <c r="E14" s="384"/>
      <c r="F14" s="504"/>
      <c r="G14" s="505"/>
      <c r="H14" s="505"/>
      <c r="I14" s="506"/>
      <c r="J14" s="506"/>
      <c r="L14" s="391"/>
      <c r="M14" s="392"/>
      <c r="N14" s="392"/>
      <c r="O14" s="394"/>
      <c r="P14" s="394"/>
      <c r="Q14" s="384"/>
      <c r="R14" s="391"/>
      <c r="S14" s="392"/>
      <c r="T14" s="392"/>
      <c r="U14" s="394"/>
      <c r="V14" s="394"/>
      <c r="W14" s="384"/>
      <c r="X14" s="391"/>
      <c r="Y14" s="392"/>
      <c r="Z14" s="392"/>
      <c r="AA14" s="394"/>
      <c r="AB14" s="394"/>
      <c r="AC14" s="384"/>
      <c r="AD14" s="507"/>
      <c r="AE14" s="508"/>
      <c r="AF14" s="508"/>
      <c r="AG14" s="509"/>
      <c r="AH14" s="509"/>
      <c r="AI14" s="513"/>
      <c r="AJ14" s="507"/>
      <c r="AK14" s="508"/>
      <c r="AL14" s="508"/>
      <c r="AM14" s="509"/>
      <c r="AN14" s="509"/>
      <c r="AO14" s="384"/>
      <c r="AP14" s="391"/>
      <c r="AQ14" s="392"/>
      <c r="AR14" s="392"/>
      <c r="AS14" s="394"/>
      <c r="AT14" s="394"/>
      <c r="AU14" s="384"/>
      <c r="AV14" s="391"/>
      <c r="AW14" s="392"/>
      <c r="AX14" s="392"/>
      <c r="AY14" s="394"/>
      <c r="AZ14" s="394"/>
      <c r="BA14" s="384"/>
      <c r="BB14" s="511"/>
      <c r="BC14" s="392"/>
      <c r="BD14" s="392"/>
      <c r="BE14" s="394"/>
      <c r="BF14" s="394"/>
      <c r="BG14" s="384"/>
      <c r="BH14" s="512"/>
      <c r="BI14" s="505"/>
      <c r="BJ14" s="505"/>
      <c r="BK14" s="506"/>
      <c r="BL14" s="506"/>
      <c r="BM14" s="385"/>
      <c r="BN14" s="512"/>
      <c r="BO14" s="505"/>
      <c r="BP14" s="505"/>
      <c r="BQ14" s="506"/>
      <c r="BR14" s="506"/>
      <c r="BS14" s="385"/>
      <c r="BT14" s="512"/>
      <c r="BU14" s="505"/>
      <c r="BV14" s="505"/>
      <c r="BW14" s="506"/>
      <c r="BX14" s="506"/>
    </row>
    <row r="15" spans="3:76" ht="15" hidden="1" outlineLevel="1">
      <c r="C15" s="387" t="s">
        <v>155</v>
      </c>
      <c r="D15" s="388">
        <v>30</v>
      </c>
      <c r="E15" s="384"/>
      <c r="F15" s="504"/>
      <c r="G15" s="505"/>
      <c r="H15" s="505"/>
      <c r="I15" s="506"/>
      <c r="J15" s="506"/>
      <c r="L15" s="391"/>
      <c r="M15" s="392"/>
      <c r="N15" s="392"/>
      <c r="O15" s="394"/>
      <c r="P15" s="394"/>
      <c r="Q15" s="384"/>
      <c r="R15" s="391"/>
      <c r="S15" s="392"/>
      <c r="T15" s="392"/>
      <c r="U15" s="394"/>
      <c r="V15" s="394"/>
      <c r="W15" s="384"/>
      <c r="X15" s="391"/>
      <c r="Y15" s="392"/>
      <c r="Z15" s="392"/>
      <c r="AA15" s="394"/>
      <c r="AB15" s="394"/>
      <c r="AC15" s="384"/>
      <c r="AD15" s="507"/>
      <c r="AE15" s="508"/>
      <c r="AF15" s="508"/>
      <c r="AG15" s="509"/>
      <c r="AH15" s="509"/>
      <c r="AI15" s="513"/>
      <c r="AJ15" s="507"/>
      <c r="AK15" s="508"/>
      <c r="AL15" s="508"/>
      <c r="AM15" s="509"/>
      <c r="AN15" s="509"/>
      <c r="AO15" s="384"/>
      <c r="AP15" s="391"/>
      <c r="AQ15" s="392"/>
      <c r="AR15" s="392"/>
      <c r="AS15" s="394"/>
      <c r="AT15" s="394"/>
      <c r="AU15" s="384"/>
      <c r="AV15" s="391"/>
      <c r="AW15" s="392"/>
      <c r="AX15" s="392"/>
      <c r="AY15" s="394"/>
      <c r="AZ15" s="394"/>
      <c r="BA15" s="384"/>
      <c r="BB15" s="511"/>
      <c r="BC15" s="392"/>
      <c r="BD15" s="392"/>
      <c r="BE15" s="394"/>
      <c r="BF15" s="394"/>
      <c r="BG15" s="384"/>
      <c r="BH15" s="512"/>
      <c r="BI15" s="505"/>
      <c r="BJ15" s="505"/>
      <c r="BK15" s="506"/>
      <c r="BL15" s="506"/>
      <c r="BM15" s="385"/>
      <c r="BN15" s="512"/>
      <c r="BO15" s="505"/>
      <c r="BP15" s="505"/>
      <c r="BQ15" s="506"/>
      <c r="BR15" s="506"/>
      <c r="BS15" s="385"/>
      <c r="BT15" s="512"/>
      <c r="BU15" s="505"/>
      <c r="BV15" s="505"/>
      <c r="BW15" s="506"/>
      <c r="BX15" s="506"/>
    </row>
    <row r="16" spans="3:76" ht="15" hidden="1" outlineLevel="1">
      <c r="C16" s="387" t="s">
        <v>156</v>
      </c>
      <c r="D16" s="388">
        <v>31</v>
      </c>
      <c r="E16" s="384"/>
      <c r="F16" s="504"/>
      <c r="G16" s="505"/>
      <c r="H16" s="505"/>
      <c r="I16" s="506"/>
      <c r="J16" s="506"/>
      <c r="L16" s="391"/>
      <c r="M16" s="392"/>
      <c r="N16" s="392"/>
      <c r="O16" s="394"/>
      <c r="P16" s="394"/>
      <c r="Q16" s="384"/>
      <c r="R16" s="391"/>
      <c r="S16" s="392"/>
      <c r="T16" s="392"/>
      <c r="U16" s="394"/>
      <c r="V16" s="394"/>
      <c r="W16" s="384"/>
      <c r="X16" s="391"/>
      <c r="Y16" s="392"/>
      <c r="Z16" s="392"/>
      <c r="AA16" s="394"/>
      <c r="AB16" s="394"/>
      <c r="AC16" s="384"/>
      <c r="AD16" s="507"/>
      <c r="AE16" s="508"/>
      <c r="AF16" s="508"/>
      <c r="AG16" s="509"/>
      <c r="AH16" s="509"/>
      <c r="AI16" s="513"/>
      <c r="AJ16" s="507"/>
      <c r="AK16" s="508"/>
      <c r="AL16" s="508"/>
      <c r="AM16" s="509"/>
      <c r="AN16" s="509"/>
      <c r="AO16" s="384"/>
      <c r="AP16" s="391"/>
      <c r="AQ16" s="392"/>
      <c r="AR16" s="392"/>
      <c r="AS16" s="394"/>
      <c r="AT16" s="394"/>
      <c r="AU16" s="384"/>
      <c r="AV16" s="391"/>
      <c r="AW16" s="392"/>
      <c r="AX16" s="392"/>
      <c r="AY16" s="394"/>
      <c r="AZ16" s="394"/>
      <c r="BA16" s="384"/>
      <c r="BB16" s="511"/>
      <c r="BC16" s="392"/>
      <c r="BD16" s="392"/>
      <c r="BE16" s="394"/>
      <c r="BF16" s="394"/>
      <c r="BG16" s="384"/>
      <c r="BH16" s="512"/>
      <c r="BI16" s="505"/>
      <c r="BJ16" s="505"/>
      <c r="BK16" s="506"/>
      <c r="BL16" s="506"/>
      <c r="BM16" s="385"/>
      <c r="BN16" s="512"/>
      <c r="BO16" s="505"/>
      <c r="BP16" s="505"/>
      <c r="BQ16" s="506"/>
      <c r="BR16" s="506"/>
      <c r="BS16" s="385"/>
      <c r="BT16" s="512"/>
      <c r="BU16" s="505"/>
      <c r="BV16" s="505"/>
      <c r="BW16" s="506"/>
      <c r="BX16" s="506"/>
    </row>
    <row r="17" spans="3:76" ht="15" hidden="1" outlineLevel="1">
      <c r="C17" s="387" t="s">
        <v>157</v>
      </c>
      <c r="D17" s="388">
        <v>30</v>
      </c>
      <c r="E17" s="384"/>
      <c r="F17" s="504"/>
      <c r="G17" s="505"/>
      <c r="H17" s="505"/>
      <c r="I17" s="506"/>
      <c r="J17" s="506"/>
      <c r="L17" s="391"/>
      <c r="M17" s="392"/>
      <c r="N17" s="392"/>
      <c r="O17" s="394"/>
      <c r="P17" s="394"/>
      <c r="Q17" s="384"/>
      <c r="R17" s="391"/>
      <c r="S17" s="392"/>
      <c r="T17" s="392"/>
      <c r="U17" s="394"/>
      <c r="V17" s="394"/>
      <c r="W17" s="384"/>
      <c r="X17" s="391"/>
      <c r="Y17" s="392"/>
      <c r="Z17" s="392"/>
      <c r="AA17" s="394"/>
      <c r="AB17" s="394"/>
      <c r="AC17" s="384"/>
      <c r="AD17" s="507"/>
      <c r="AE17" s="508"/>
      <c r="AF17" s="508"/>
      <c r="AG17" s="509"/>
      <c r="AH17" s="509"/>
      <c r="AI17" s="513"/>
      <c r="AJ17" s="507"/>
      <c r="AK17" s="508"/>
      <c r="AL17" s="508"/>
      <c r="AM17" s="509"/>
      <c r="AN17" s="509"/>
      <c r="AO17" s="384"/>
      <c r="AP17" s="391"/>
      <c r="AQ17" s="392"/>
      <c r="AR17" s="392"/>
      <c r="AS17" s="394"/>
      <c r="AT17" s="394"/>
      <c r="AU17" s="384"/>
      <c r="AV17" s="391"/>
      <c r="AW17" s="392"/>
      <c r="AX17" s="392"/>
      <c r="AY17" s="394"/>
      <c r="AZ17" s="394"/>
      <c r="BA17" s="384"/>
      <c r="BB17" s="511"/>
      <c r="BC17" s="392"/>
      <c r="BD17" s="392"/>
      <c r="BE17" s="394"/>
      <c r="BF17" s="394"/>
      <c r="BG17" s="384"/>
      <c r="BH17" s="512"/>
      <c r="BI17" s="505"/>
      <c r="BJ17" s="505"/>
      <c r="BK17" s="506"/>
      <c r="BL17" s="506"/>
      <c r="BM17" s="385"/>
      <c r="BN17" s="512"/>
      <c r="BO17" s="505"/>
      <c r="BP17" s="505"/>
      <c r="BQ17" s="506"/>
      <c r="BR17" s="506"/>
      <c r="BS17" s="385"/>
      <c r="BT17" s="512"/>
      <c r="BU17" s="505"/>
      <c r="BV17" s="505"/>
      <c r="BW17" s="506"/>
      <c r="BX17" s="506"/>
    </row>
    <row r="18" spans="3:76" ht="15" hidden="1" outlineLevel="1">
      <c r="C18" s="387" t="s">
        <v>158</v>
      </c>
      <c r="D18" s="388">
        <v>31</v>
      </c>
      <c r="E18" s="384"/>
      <c r="F18" s="504"/>
      <c r="G18" s="505"/>
      <c r="H18" s="505"/>
      <c r="I18" s="506"/>
      <c r="J18" s="506"/>
      <c r="L18" s="391"/>
      <c r="M18" s="392"/>
      <c r="N18" s="392"/>
      <c r="O18" s="394"/>
      <c r="P18" s="394"/>
      <c r="Q18" s="384"/>
      <c r="R18" s="391"/>
      <c r="S18" s="392"/>
      <c r="T18" s="392"/>
      <c r="U18" s="394"/>
      <c r="V18" s="394"/>
      <c r="W18" s="384"/>
      <c r="X18" s="391"/>
      <c r="Y18" s="392"/>
      <c r="Z18" s="392"/>
      <c r="AA18" s="394"/>
      <c r="AB18" s="394"/>
      <c r="AC18" s="384"/>
      <c r="AD18" s="507"/>
      <c r="AE18" s="508"/>
      <c r="AF18" s="508"/>
      <c r="AG18" s="509"/>
      <c r="AH18" s="509"/>
      <c r="AI18" s="513"/>
      <c r="AJ18" s="507"/>
      <c r="AK18" s="508"/>
      <c r="AL18" s="508"/>
      <c r="AM18" s="509"/>
      <c r="AN18" s="509"/>
      <c r="AO18" s="384"/>
      <c r="AP18" s="391"/>
      <c r="AQ18" s="392"/>
      <c r="AR18" s="392"/>
      <c r="AS18" s="394"/>
      <c r="AT18" s="394"/>
      <c r="AU18" s="384"/>
      <c r="AV18" s="391"/>
      <c r="AW18" s="392"/>
      <c r="AX18" s="392"/>
      <c r="AY18" s="394"/>
      <c r="AZ18" s="394"/>
      <c r="BA18" s="384"/>
      <c r="BB18" s="511"/>
      <c r="BC18" s="511"/>
      <c r="BD18" s="391"/>
      <c r="BE18" s="514"/>
      <c r="BF18" s="514"/>
      <c r="BG18" s="384"/>
      <c r="BH18" s="512"/>
      <c r="BI18" s="512"/>
      <c r="BJ18" s="504"/>
      <c r="BK18" s="515"/>
      <c r="BL18" s="515"/>
      <c r="BM18" s="385"/>
      <c r="BN18" s="512"/>
      <c r="BO18" s="512"/>
      <c r="BP18" s="504"/>
      <c r="BQ18" s="515"/>
      <c r="BR18" s="515"/>
      <c r="BS18" s="385"/>
      <c r="BT18" s="512"/>
      <c r="BU18" s="512"/>
      <c r="BV18" s="504"/>
      <c r="BW18" s="515"/>
      <c r="BX18" s="515"/>
    </row>
    <row r="19" spans="2:76" ht="15.75" hidden="1" outlineLevel="1">
      <c r="B19" s="395"/>
      <c r="C19" s="396"/>
      <c r="E19" s="397"/>
      <c r="F19" s="425">
        <f>SUM(F7:F18)</f>
        <v>0</v>
      </c>
      <c r="G19" s="425">
        <f>SUM(G7:G18)</f>
        <v>0</v>
      </c>
      <c r="H19" s="505"/>
      <c r="I19" s="425">
        <f>SUM(I7:I18)</f>
        <v>0</v>
      </c>
      <c r="J19" s="425">
        <f>SUM(J7:J18)</f>
        <v>0</v>
      </c>
      <c r="L19" s="419">
        <f>SUM(L7:L18)</f>
        <v>0</v>
      </c>
      <c r="M19" s="419">
        <f>SUM(M7:M18)</f>
        <v>0</v>
      </c>
      <c r="N19" s="392"/>
      <c r="O19" s="419">
        <f>SUM(O7:O18)</f>
        <v>0</v>
      </c>
      <c r="P19" s="419">
        <f>SUM(P7:P18)</f>
        <v>0</v>
      </c>
      <c r="Q19" s="397"/>
      <c r="R19" s="419">
        <f>SUM(R7:R18)</f>
        <v>0</v>
      </c>
      <c r="S19" s="419">
        <f>SUM(S7:S18)</f>
        <v>0</v>
      </c>
      <c r="T19" s="392"/>
      <c r="U19" s="419">
        <f>SUM(U7:U18)</f>
        <v>0</v>
      </c>
      <c r="V19" s="419">
        <f>SUM(V7:V18)</f>
        <v>0</v>
      </c>
      <c r="W19" s="397"/>
      <c r="X19" s="419">
        <f>SUM(X7:X18)</f>
        <v>0</v>
      </c>
      <c r="Y19" s="419">
        <f>SUM(Y7:Y18)</f>
        <v>0</v>
      </c>
      <c r="Z19" s="392"/>
      <c r="AA19" s="419">
        <f>SUM(AA7:AA18)</f>
        <v>0</v>
      </c>
      <c r="AB19" s="419">
        <f>SUM(AB7:AB18)</f>
        <v>0</v>
      </c>
      <c r="AC19" s="397"/>
      <c r="AD19" s="516">
        <f>SUM(AD7:AD18)</f>
        <v>0</v>
      </c>
      <c r="AE19" s="516">
        <f>SUM(AE7:AE18)</f>
        <v>0</v>
      </c>
      <c r="AF19" s="508"/>
      <c r="AG19" s="516">
        <f>SUM(AG7:AG18)</f>
        <v>0</v>
      </c>
      <c r="AH19" s="516">
        <f>SUM(AH7:AH18)</f>
        <v>0</v>
      </c>
      <c r="AI19" s="517"/>
      <c r="AJ19" s="516">
        <f>SUM(AJ7:AJ18)</f>
        <v>0</v>
      </c>
      <c r="AK19" s="516">
        <f>SUM(AK7:AK18)</f>
        <v>0</v>
      </c>
      <c r="AL19" s="508"/>
      <c r="AM19" s="516">
        <f>SUM(AM7:AM18)</f>
        <v>0</v>
      </c>
      <c r="AN19" s="516">
        <f>SUM(AN7:AN18)</f>
        <v>0</v>
      </c>
      <c r="AO19" s="397"/>
      <c r="AP19" s="419">
        <f>SUM(AP7:AP18)</f>
        <v>0</v>
      </c>
      <c r="AQ19" s="419">
        <f>SUM(AQ7:AQ18)</f>
        <v>0</v>
      </c>
      <c r="AR19" s="392"/>
      <c r="AS19" s="419">
        <f>SUM(AS7:AS18)</f>
        <v>0</v>
      </c>
      <c r="AT19" s="419">
        <f>SUM(AT7:AT18)</f>
        <v>0</v>
      </c>
      <c r="AU19" s="397"/>
      <c r="AV19" s="419">
        <f>SUM(AV7:AV18)</f>
        <v>0</v>
      </c>
      <c r="AW19" s="419">
        <f>SUM(AW7:AW18)</f>
        <v>0</v>
      </c>
      <c r="AX19" s="392"/>
      <c r="AY19" s="419">
        <f>SUM(AY7:AY18)</f>
        <v>0</v>
      </c>
      <c r="AZ19" s="419">
        <f>SUM(AZ7:AZ18)</f>
        <v>0</v>
      </c>
      <c r="BA19" s="397"/>
      <c r="BB19" s="419">
        <f>SUM(BB7:BB18)</f>
        <v>0</v>
      </c>
      <c r="BC19" s="419">
        <f>SUM(BC7:BC18)</f>
        <v>0</v>
      </c>
      <c r="BD19" s="518"/>
      <c r="BE19" s="419">
        <f>SUM(BE7:BE18)</f>
        <v>0</v>
      </c>
      <c r="BF19" s="419">
        <f>SUM(BF7:BF18)</f>
        <v>0</v>
      </c>
      <c r="BG19" s="397"/>
      <c r="BH19" s="425">
        <f>SUM(BH7:BH18)</f>
        <v>0</v>
      </c>
      <c r="BI19" s="425">
        <f>SUM(BI7:BI18)</f>
        <v>0</v>
      </c>
      <c r="BJ19" s="519"/>
      <c r="BK19" s="425">
        <f>SUM(BK7:BK18)</f>
        <v>0</v>
      </c>
      <c r="BL19" s="425">
        <f>SUM(BL7:BL18)</f>
        <v>0</v>
      </c>
      <c r="BM19" s="385"/>
      <c r="BN19" s="425">
        <f>SUM(BN7:BN18)</f>
        <v>0</v>
      </c>
      <c r="BO19" s="425">
        <f>SUM(BO7:BO18)</f>
        <v>0</v>
      </c>
      <c r="BP19" s="519"/>
      <c r="BQ19" s="425">
        <f>SUM(BQ7:BQ18)</f>
        <v>0</v>
      </c>
      <c r="BR19" s="425">
        <f>SUM(BR7:BR18)</f>
        <v>0</v>
      </c>
      <c r="BS19" s="385"/>
      <c r="BT19" s="425">
        <f>SUM(BT7:BT18)</f>
        <v>0</v>
      </c>
      <c r="BU19" s="425">
        <f>SUM(BU7:BU18)</f>
        <v>0</v>
      </c>
      <c r="BV19" s="519"/>
      <c r="BW19" s="425">
        <f>SUM(BW7:BW18)</f>
        <v>0</v>
      </c>
      <c r="BX19" s="425">
        <f>SUM(BX7:BX18)</f>
        <v>0</v>
      </c>
    </row>
    <row r="20" spans="5:76" ht="20.1" customHeight="1" hidden="1" outlineLevel="1">
      <c r="E20" s="408"/>
      <c r="F20" s="520"/>
      <c r="G20" s="520"/>
      <c r="H20" s="520"/>
      <c r="I20" s="521"/>
      <c r="J20" s="521"/>
      <c r="L20" s="411"/>
      <c r="M20" s="411"/>
      <c r="N20" s="411"/>
      <c r="O20" s="410"/>
      <c r="P20" s="410"/>
      <c r="Q20" s="408"/>
      <c r="R20" s="411"/>
      <c r="S20" s="411"/>
      <c r="T20" s="411"/>
      <c r="U20" s="410"/>
      <c r="V20" s="410"/>
      <c r="W20" s="408"/>
      <c r="X20" s="411"/>
      <c r="Y20" s="411"/>
      <c r="Z20" s="411"/>
      <c r="AA20" s="410"/>
      <c r="AB20" s="410"/>
      <c r="AC20" s="408"/>
      <c r="AD20" s="522"/>
      <c r="AE20" s="522"/>
      <c r="AF20" s="522"/>
      <c r="AG20" s="523"/>
      <c r="AH20" s="523"/>
      <c r="AI20" s="524"/>
      <c r="AJ20" s="522"/>
      <c r="AK20" s="522"/>
      <c r="AL20" s="522"/>
      <c r="AM20" s="523"/>
      <c r="AN20" s="523"/>
      <c r="AO20" s="408"/>
      <c r="AP20" s="411"/>
      <c r="AQ20" s="411"/>
      <c r="AR20" s="411"/>
      <c r="AS20" s="410"/>
      <c r="AT20" s="410"/>
      <c r="AU20" s="408"/>
      <c r="AV20" s="411"/>
      <c r="AW20" s="411"/>
      <c r="AX20" s="411"/>
      <c r="AY20" s="410"/>
      <c r="AZ20" s="410"/>
      <c r="BA20" s="408"/>
      <c r="BB20" s="411"/>
      <c r="BC20" s="411"/>
      <c r="BD20" s="411"/>
      <c r="BE20" s="410"/>
      <c r="BF20" s="410"/>
      <c r="BG20" s="408"/>
      <c r="BH20" s="520"/>
      <c r="BI20" s="520"/>
      <c r="BJ20" s="520"/>
      <c r="BK20" s="521"/>
      <c r="BL20" s="521"/>
      <c r="BM20" s="385"/>
      <c r="BN20" s="520"/>
      <c r="BO20" s="520"/>
      <c r="BP20" s="520"/>
      <c r="BQ20" s="521"/>
      <c r="BR20" s="521"/>
      <c r="BS20" s="385"/>
      <c r="BT20" s="520"/>
      <c r="BU20" s="520"/>
      <c r="BV20" s="520"/>
      <c r="BW20" s="521"/>
      <c r="BX20" s="521"/>
    </row>
    <row r="21" spans="2:76" ht="15.75" collapsed="1">
      <c r="B21" s="386">
        <f>B7+1</f>
        <v>2017</v>
      </c>
      <c r="C21" s="387" t="s">
        <v>147</v>
      </c>
      <c r="D21" s="388">
        <v>31</v>
      </c>
      <c r="E21" s="389"/>
      <c r="F21" s="774">
        <v>148</v>
      </c>
      <c r="G21" s="774">
        <v>0</v>
      </c>
      <c r="H21" s="774">
        <f>F21+G21</f>
        <v>148</v>
      </c>
      <c r="I21" s="775">
        <v>1471.06</v>
      </c>
      <c r="J21" s="775">
        <f>I21*1.21</f>
        <v>1779.9825999999998</v>
      </c>
      <c r="L21" s="829"/>
      <c r="M21" s="829">
        <v>0</v>
      </c>
      <c r="N21" s="829">
        <f>L21+M21</f>
        <v>0</v>
      </c>
      <c r="O21" s="830"/>
      <c r="P21" s="830">
        <f>O21*1.21</f>
        <v>0</v>
      </c>
      <c r="Q21" s="389"/>
      <c r="R21" s="771">
        <v>10365</v>
      </c>
      <c r="S21" s="771">
        <v>0</v>
      </c>
      <c r="T21" s="771">
        <f>R21+S21</f>
        <v>10365</v>
      </c>
      <c r="U21" s="761">
        <v>21756.59</v>
      </c>
      <c r="V21" s="761">
        <f>U21*1.21</f>
        <v>26325.4739</v>
      </c>
      <c r="W21" s="389"/>
      <c r="X21" s="771">
        <v>2324</v>
      </c>
      <c r="Y21" s="771">
        <v>0</v>
      </c>
      <c r="Z21" s="771">
        <f>X21+Y21</f>
        <v>2324</v>
      </c>
      <c r="AA21" s="761">
        <v>5740.15</v>
      </c>
      <c r="AB21" s="761">
        <f>AA21*1.21</f>
        <v>6945.581499999999</v>
      </c>
      <c r="AC21" s="389"/>
      <c r="AD21" s="821">
        <v>7666</v>
      </c>
      <c r="AE21" s="821">
        <v>0</v>
      </c>
      <c r="AF21" s="821">
        <f>AD21+AE21</f>
        <v>7666</v>
      </c>
      <c r="AG21" s="822">
        <v>29995.53</v>
      </c>
      <c r="AH21" s="822">
        <f>AG21*1.21</f>
        <v>36294.5913</v>
      </c>
      <c r="AI21" s="510"/>
      <c r="AJ21" s="821">
        <v>32</v>
      </c>
      <c r="AK21" s="821">
        <v>0</v>
      </c>
      <c r="AL21" s="821">
        <f>AJ21+AK21</f>
        <v>32</v>
      </c>
      <c r="AM21" s="822">
        <v>1703.94</v>
      </c>
      <c r="AN21" s="822">
        <f>AM21*1.21</f>
        <v>2061.7674</v>
      </c>
      <c r="AO21" s="389"/>
      <c r="AP21" s="771">
        <v>47316</v>
      </c>
      <c r="AQ21" s="771">
        <v>0</v>
      </c>
      <c r="AR21" s="771">
        <f>AP21+AQ21</f>
        <v>47316</v>
      </c>
      <c r="AS21" s="761">
        <v>89661.24</v>
      </c>
      <c r="AT21" s="761">
        <f>AS21*1.21</f>
        <v>108490.10040000001</v>
      </c>
      <c r="AU21" s="389"/>
      <c r="AV21" s="525"/>
      <c r="AW21" s="526"/>
      <c r="AX21" s="526">
        <f aca="true" t="shared" si="0" ref="AX21:AX32">AV21+AW21</f>
        <v>0</v>
      </c>
      <c r="AY21" s="527"/>
      <c r="AZ21" s="527">
        <f aca="true" t="shared" si="1" ref="AZ21">AY21*1.21</f>
        <v>0</v>
      </c>
      <c r="BA21" s="389"/>
      <c r="BB21" s="771">
        <v>22134</v>
      </c>
      <c r="BC21" s="771">
        <v>0</v>
      </c>
      <c r="BD21" s="771">
        <f>BB21+BC21</f>
        <v>22134</v>
      </c>
      <c r="BE21" s="761">
        <v>41157.72</v>
      </c>
      <c r="BF21" s="761">
        <f>BE21*1.21</f>
        <v>49800.8412</v>
      </c>
      <c r="BG21" s="389"/>
      <c r="BH21" s="774">
        <v>32</v>
      </c>
      <c r="BI21" s="774">
        <v>0</v>
      </c>
      <c r="BJ21" s="774">
        <f>BH21+BI21</f>
        <v>32</v>
      </c>
      <c r="BK21" s="775">
        <v>1703.94</v>
      </c>
      <c r="BL21" s="775">
        <f>BK21*1.21</f>
        <v>2061.7674</v>
      </c>
      <c r="BM21" s="385"/>
      <c r="BN21" s="774">
        <v>148</v>
      </c>
      <c r="BO21" s="774">
        <v>0</v>
      </c>
      <c r="BP21" s="774">
        <f>BN21+BO21</f>
        <v>148</v>
      </c>
      <c r="BQ21" s="775">
        <v>1471.06</v>
      </c>
      <c r="BR21" s="775">
        <f>BQ21*1.21</f>
        <v>1779.9825999999998</v>
      </c>
      <c r="BS21" s="385"/>
      <c r="BT21" s="774">
        <v>7666</v>
      </c>
      <c r="BU21" s="774">
        <v>0</v>
      </c>
      <c r="BV21" s="774">
        <f>BT21+BU21</f>
        <v>7666</v>
      </c>
      <c r="BW21" s="775">
        <v>29995.53</v>
      </c>
      <c r="BX21" s="775">
        <f>BW21*1.21</f>
        <v>36294.5913</v>
      </c>
    </row>
    <row r="22" spans="3:76" ht="15">
      <c r="C22" s="387" t="s">
        <v>148</v>
      </c>
      <c r="D22" s="388">
        <v>28</v>
      </c>
      <c r="E22" s="384"/>
      <c r="F22" s="774"/>
      <c r="G22" s="774"/>
      <c r="H22" s="774"/>
      <c r="I22" s="775"/>
      <c r="J22" s="775"/>
      <c r="L22" s="829"/>
      <c r="M22" s="829"/>
      <c r="N22" s="829"/>
      <c r="O22" s="830"/>
      <c r="P22" s="830"/>
      <c r="Q22" s="384"/>
      <c r="R22" s="771"/>
      <c r="S22" s="771"/>
      <c r="T22" s="771"/>
      <c r="U22" s="761"/>
      <c r="V22" s="761"/>
      <c r="W22" s="384"/>
      <c r="X22" s="771"/>
      <c r="Y22" s="771"/>
      <c r="Z22" s="771"/>
      <c r="AA22" s="761"/>
      <c r="AB22" s="761"/>
      <c r="AC22" s="384"/>
      <c r="AD22" s="821"/>
      <c r="AE22" s="821"/>
      <c r="AF22" s="821"/>
      <c r="AG22" s="822"/>
      <c r="AH22" s="822"/>
      <c r="AI22" s="513"/>
      <c r="AJ22" s="821"/>
      <c r="AK22" s="821"/>
      <c r="AL22" s="821"/>
      <c r="AM22" s="822"/>
      <c r="AN22" s="822"/>
      <c r="AO22" s="384"/>
      <c r="AP22" s="771"/>
      <c r="AQ22" s="771"/>
      <c r="AR22" s="771"/>
      <c r="AS22" s="761"/>
      <c r="AT22" s="761"/>
      <c r="AU22" s="384"/>
      <c r="AV22" s="525"/>
      <c r="AW22" s="526"/>
      <c r="AX22" s="526">
        <f t="shared" si="0"/>
        <v>0</v>
      </c>
      <c r="AY22" s="527"/>
      <c r="AZ22" s="527"/>
      <c r="BA22" s="384"/>
      <c r="BB22" s="771"/>
      <c r="BC22" s="771"/>
      <c r="BD22" s="771"/>
      <c r="BE22" s="761"/>
      <c r="BF22" s="761"/>
      <c r="BG22" s="384"/>
      <c r="BH22" s="774"/>
      <c r="BI22" s="774"/>
      <c r="BJ22" s="774"/>
      <c r="BK22" s="775"/>
      <c r="BL22" s="775"/>
      <c r="BM22" s="385"/>
      <c r="BN22" s="774"/>
      <c r="BO22" s="774"/>
      <c r="BP22" s="774"/>
      <c r="BQ22" s="775"/>
      <c r="BR22" s="775"/>
      <c r="BS22" s="385"/>
      <c r="BT22" s="774"/>
      <c r="BU22" s="774"/>
      <c r="BV22" s="774"/>
      <c r="BW22" s="775"/>
      <c r="BX22" s="775"/>
    </row>
    <row r="23" spans="3:76" ht="15">
      <c r="C23" s="387" t="s">
        <v>149</v>
      </c>
      <c r="D23" s="388">
        <v>31</v>
      </c>
      <c r="E23" s="384"/>
      <c r="F23" s="774"/>
      <c r="G23" s="774"/>
      <c r="H23" s="774"/>
      <c r="I23" s="775"/>
      <c r="J23" s="775"/>
      <c r="L23" s="829"/>
      <c r="M23" s="829"/>
      <c r="N23" s="829"/>
      <c r="O23" s="830"/>
      <c r="P23" s="830"/>
      <c r="Q23" s="384"/>
      <c r="R23" s="771"/>
      <c r="S23" s="771"/>
      <c r="T23" s="771"/>
      <c r="U23" s="761"/>
      <c r="V23" s="761"/>
      <c r="W23" s="384"/>
      <c r="X23" s="771"/>
      <c r="Y23" s="771"/>
      <c r="Z23" s="771"/>
      <c r="AA23" s="761"/>
      <c r="AB23" s="761"/>
      <c r="AC23" s="384"/>
      <c r="AD23" s="821"/>
      <c r="AE23" s="821"/>
      <c r="AF23" s="821"/>
      <c r="AG23" s="822"/>
      <c r="AH23" s="822"/>
      <c r="AI23" s="513"/>
      <c r="AJ23" s="821"/>
      <c r="AK23" s="821"/>
      <c r="AL23" s="821"/>
      <c r="AM23" s="822"/>
      <c r="AN23" s="822"/>
      <c r="AO23" s="384"/>
      <c r="AP23" s="771"/>
      <c r="AQ23" s="771"/>
      <c r="AR23" s="771"/>
      <c r="AS23" s="761"/>
      <c r="AT23" s="761"/>
      <c r="AU23" s="384"/>
      <c r="AV23" s="525"/>
      <c r="AW23" s="526"/>
      <c r="AX23" s="526">
        <f t="shared" si="0"/>
        <v>0</v>
      </c>
      <c r="AY23" s="527"/>
      <c r="AZ23" s="527"/>
      <c r="BA23" s="384"/>
      <c r="BB23" s="771"/>
      <c r="BC23" s="771"/>
      <c r="BD23" s="771"/>
      <c r="BE23" s="761"/>
      <c r="BF23" s="761"/>
      <c r="BG23" s="384"/>
      <c r="BH23" s="774"/>
      <c r="BI23" s="774"/>
      <c r="BJ23" s="774"/>
      <c r="BK23" s="775"/>
      <c r="BL23" s="775"/>
      <c r="BM23" s="385"/>
      <c r="BN23" s="774"/>
      <c r="BO23" s="774"/>
      <c r="BP23" s="774"/>
      <c r="BQ23" s="775"/>
      <c r="BR23" s="775"/>
      <c r="BS23" s="385"/>
      <c r="BT23" s="774"/>
      <c r="BU23" s="774"/>
      <c r="BV23" s="774"/>
      <c r="BW23" s="775"/>
      <c r="BX23" s="775"/>
    </row>
    <row r="24" spans="3:76" ht="15">
      <c r="C24" s="387" t="s">
        <v>150</v>
      </c>
      <c r="D24" s="388">
        <v>30</v>
      </c>
      <c r="E24" s="384"/>
      <c r="F24" s="774"/>
      <c r="G24" s="774"/>
      <c r="H24" s="774"/>
      <c r="I24" s="775"/>
      <c r="J24" s="775"/>
      <c r="L24" s="829"/>
      <c r="M24" s="829"/>
      <c r="N24" s="829"/>
      <c r="O24" s="830"/>
      <c r="P24" s="830"/>
      <c r="Q24" s="384"/>
      <c r="R24" s="771"/>
      <c r="S24" s="771"/>
      <c r="T24" s="771"/>
      <c r="U24" s="761"/>
      <c r="V24" s="761"/>
      <c r="W24" s="384"/>
      <c r="X24" s="771"/>
      <c r="Y24" s="771"/>
      <c r="Z24" s="771"/>
      <c r="AA24" s="761"/>
      <c r="AB24" s="761"/>
      <c r="AC24" s="384"/>
      <c r="AD24" s="821"/>
      <c r="AE24" s="821"/>
      <c r="AF24" s="821"/>
      <c r="AG24" s="822"/>
      <c r="AH24" s="822"/>
      <c r="AI24" s="513"/>
      <c r="AJ24" s="821"/>
      <c r="AK24" s="821"/>
      <c r="AL24" s="821"/>
      <c r="AM24" s="822"/>
      <c r="AN24" s="822"/>
      <c r="AO24" s="384"/>
      <c r="AP24" s="771"/>
      <c r="AQ24" s="771"/>
      <c r="AR24" s="771"/>
      <c r="AS24" s="761"/>
      <c r="AT24" s="761"/>
      <c r="AU24" s="384"/>
      <c r="AV24" s="525"/>
      <c r="AW24" s="526"/>
      <c r="AX24" s="526">
        <f t="shared" si="0"/>
        <v>0</v>
      </c>
      <c r="AY24" s="527"/>
      <c r="AZ24" s="527"/>
      <c r="BA24" s="384"/>
      <c r="BB24" s="771"/>
      <c r="BC24" s="771"/>
      <c r="BD24" s="771"/>
      <c r="BE24" s="761"/>
      <c r="BF24" s="761"/>
      <c r="BG24" s="384"/>
      <c r="BH24" s="774"/>
      <c r="BI24" s="774"/>
      <c r="BJ24" s="774"/>
      <c r="BK24" s="775"/>
      <c r="BL24" s="775"/>
      <c r="BM24" s="385"/>
      <c r="BN24" s="774"/>
      <c r="BO24" s="774"/>
      <c r="BP24" s="774"/>
      <c r="BQ24" s="775"/>
      <c r="BR24" s="775"/>
      <c r="BS24" s="385"/>
      <c r="BT24" s="774"/>
      <c r="BU24" s="774"/>
      <c r="BV24" s="774"/>
      <c r="BW24" s="775"/>
      <c r="BX24" s="775"/>
    </row>
    <row r="25" spans="3:76" ht="15">
      <c r="C25" s="387" t="s">
        <v>151</v>
      </c>
      <c r="D25" s="388">
        <v>31</v>
      </c>
      <c r="E25" s="384"/>
      <c r="F25" s="774"/>
      <c r="G25" s="774"/>
      <c r="H25" s="774"/>
      <c r="I25" s="775"/>
      <c r="J25" s="775"/>
      <c r="L25" s="829"/>
      <c r="M25" s="829"/>
      <c r="N25" s="829"/>
      <c r="O25" s="830"/>
      <c r="P25" s="830"/>
      <c r="Q25" s="384"/>
      <c r="R25" s="771"/>
      <c r="S25" s="771"/>
      <c r="T25" s="771"/>
      <c r="U25" s="761"/>
      <c r="V25" s="761"/>
      <c r="W25" s="384"/>
      <c r="X25" s="771"/>
      <c r="Y25" s="771"/>
      <c r="Z25" s="771"/>
      <c r="AA25" s="761"/>
      <c r="AB25" s="761"/>
      <c r="AC25" s="384"/>
      <c r="AD25" s="821"/>
      <c r="AE25" s="821"/>
      <c r="AF25" s="821"/>
      <c r="AG25" s="822"/>
      <c r="AH25" s="822"/>
      <c r="AI25" s="513"/>
      <c r="AJ25" s="821"/>
      <c r="AK25" s="821"/>
      <c r="AL25" s="821"/>
      <c r="AM25" s="822"/>
      <c r="AN25" s="822"/>
      <c r="AO25" s="384"/>
      <c r="AP25" s="771"/>
      <c r="AQ25" s="771"/>
      <c r="AR25" s="771"/>
      <c r="AS25" s="761"/>
      <c r="AT25" s="761"/>
      <c r="AU25" s="384"/>
      <c r="AV25" s="525"/>
      <c r="AW25" s="526"/>
      <c r="AX25" s="526">
        <f t="shared" si="0"/>
        <v>0</v>
      </c>
      <c r="AY25" s="527"/>
      <c r="AZ25" s="527"/>
      <c r="BA25" s="384"/>
      <c r="BB25" s="771"/>
      <c r="BC25" s="771"/>
      <c r="BD25" s="771"/>
      <c r="BE25" s="761"/>
      <c r="BF25" s="761"/>
      <c r="BG25" s="384"/>
      <c r="BH25" s="774"/>
      <c r="BI25" s="774"/>
      <c r="BJ25" s="774"/>
      <c r="BK25" s="775"/>
      <c r="BL25" s="775"/>
      <c r="BM25" s="385"/>
      <c r="BN25" s="774"/>
      <c r="BO25" s="774"/>
      <c r="BP25" s="774"/>
      <c r="BQ25" s="775"/>
      <c r="BR25" s="775"/>
      <c r="BS25" s="385"/>
      <c r="BT25" s="774"/>
      <c r="BU25" s="774"/>
      <c r="BV25" s="774"/>
      <c r="BW25" s="775"/>
      <c r="BX25" s="775"/>
    </row>
    <row r="26" spans="3:76" ht="15">
      <c r="C26" s="387" t="s">
        <v>152</v>
      </c>
      <c r="D26" s="388">
        <v>30</v>
      </c>
      <c r="E26" s="384"/>
      <c r="F26" s="774"/>
      <c r="G26" s="774"/>
      <c r="H26" s="774"/>
      <c r="I26" s="775"/>
      <c r="J26" s="775"/>
      <c r="L26" s="829"/>
      <c r="M26" s="829"/>
      <c r="N26" s="829"/>
      <c r="O26" s="830"/>
      <c r="P26" s="830"/>
      <c r="Q26" s="384"/>
      <c r="R26" s="771"/>
      <c r="S26" s="771"/>
      <c r="T26" s="771"/>
      <c r="U26" s="761"/>
      <c r="V26" s="761"/>
      <c r="W26" s="384"/>
      <c r="X26" s="771"/>
      <c r="Y26" s="771"/>
      <c r="Z26" s="771"/>
      <c r="AA26" s="761"/>
      <c r="AB26" s="761"/>
      <c r="AC26" s="384"/>
      <c r="AD26" s="821"/>
      <c r="AE26" s="821"/>
      <c r="AF26" s="821"/>
      <c r="AG26" s="822"/>
      <c r="AH26" s="822"/>
      <c r="AI26" s="513"/>
      <c r="AJ26" s="821"/>
      <c r="AK26" s="821"/>
      <c r="AL26" s="821"/>
      <c r="AM26" s="822"/>
      <c r="AN26" s="822"/>
      <c r="AO26" s="384"/>
      <c r="AP26" s="771"/>
      <c r="AQ26" s="771"/>
      <c r="AR26" s="771"/>
      <c r="AS26" s="761"/>
      <c r="AT26" s="761"/>
      <c r="AU26" s="384"/>
      <c r="AV26" s="526"/>
      <c r="AW26" s="526"/>
      <c r="AX26" s="526">
        <f t="shared" si="0"/>
        <v>0</v>
      </c>
      <c r="AY26" s="527"/>
      <c r="AZ26" s="527">
        <f aca="true" t="shared" si="2" ref="AZ26:AZ32">AY26*1.21</f>
        <v>0</v>
      </c>
      <c r="BA26" s="384"/>
      <c r="BB26" s="771"/>
      <c r="BC26" s="771"/>
      <c r="BD26" s="771"/>
      <c r="BE26" s="761"/>
      <c r="BF26" s="761"/>
      <c r="BG26" s="384"/>
      <c r="BH26" s="774"/>
      <c r="BI26" s="774"/>
      <c r="BJ26" s="774"/>
      <c r="BK26" s="775"/>
      <c r="BL26" s="775"/>
      <c r="BM26" s="385"/>
      <c r="BN26" s="774"/>
      <c r="BO26" s="774"/>
      <c r="BP26" s="774"/>
      <c r="BQ26" s="775"/>
      <c r="BR26" s="775"/>
      <c r="BS26" s="385"/>
      <c r="BT26" s="774"/>
      <c r="BU26" s="774"/>
      <c r="BV26" s="774"/>
      <c r="BW26" s="775"/>
      <c r="BX26" s="775"/>
    </row>
    <row r="27" spans="3:76" ht="15">
      <c r="C27" s="387" t="s">
        <v>153</v>
      </c>
      <c r="D27" s="388">
        <v>31</v>
      </c>
      <c r="E27" s="384"/>
      <c r="F27" s="774"/>
      <c r="G27" s="774"/>
      <c r="H27" s="774"/>
      <c r="I27" s="775"/>
      <c r="J27" s="775"/>
      <c r="L27" s="829"/>
      <c r="M27" s="829"/>
      <c r="N27" s="829"/>
      <c r="O27" s="830"/>
      <c r="P27" s="830"/>
      <c r="Q27" s="384"/>
      <c r="R27" s="771"/>
      <c r="S27" s="771"/>
      <c r="T27" s="771"/>
      <c r="U27" s="761"/>
      <c r="V27" s="761"/>
      <c r="W27" s="384"/>
      <c r="X27" s="771"/>
      <c r="Y27" s="771"/>
      <c r="Z27" s="771"/>
      <c r="AA27" s="761"/>
      <c r="AB27" s="761"/>
      <c r="AC27" s="384"/>
      <c r="AD27" s="821"/>
      <c r="AE27" s="821"/>
      <c r="AF27" s="821"/>
      <c r="AG27" s="822"/>
      <c r="AH27" s="822"/>
      <c r="AI27" s="513"/>
      <c r="AJ27" s="821"/>
      <c r="AK27" s="821"/>
      <c r="AL27" s="821"/>
      <c r="AM27" s="822"/>
      <c r="AN27" s="822"/>
      <c r="AO27" s="384"/>
      <c r="AP27" s="771"/>
      <c r="AQ27" s="771"/>
      <c r="AR27" s="771"/>
      <c r="AS27" s="761"/>
      <c r="AT27" s="761"/>
      <c r="AU27" s="384"/>
      <c r="AV27" s="526"/>
      <c r="AW27" s="526"/>
      <c r="AX27" s="526">
        <f t="shared" si="0"/>
        <v>0</v>
      </c>
      <c r="AY27" s="527"/>
      <c r="AZ27" s="527">
        <f t="shared" si="2"/>
        <v>0</v>
      </c>
      <c r="BA27" s="384"/>
      <c r="BB27" s="771"/>
      <c r="BC27" s="771"/>
      <c r="BD27" s="771"/>
      <c r="BE27" s="761"/>
      <c r="BF27" s="761"/>
      <c r="BG27" s="384"/>
      <c r="BH27" s="774"/>
      <c r="BI27" s="774"/>
      <c r="BJ27" s="774"/>
      <c r="BK27" s="775"/>
      <c r="BL27" s="775"/>
      <c r="BM27" s="385"/>
      <c r="BN27" s="774"/>
      <c r="BO27" s="774"/>
      <c r="BP27" s="774"/>
      <c r="BQ27" s="775"/>
      <c r="BR27" s="775"/>
      <c r="BS27" s="385"/>
      <c r="BT27" s="774"/>
      <c r="BU27" s="774"/>
      <c r="BV27" s="774"/>
      <c r="BW27" s="775"/>
      <c r="BX27" s="775"/>
    </row>
    <row r="28" spans="3:76" ht="15">
      <c r="C28" s="387" t="s">
        <v>154</v>
      </c>
      <c r="D28" s="388">
        <v>31</v>
      </c>
      <c r="E28" s="384"/>
      <c r="F28" s="774"/>
      <c r="G28" s="774"/>
      <c r="H28" s="774"/>
      <c r="I28" s="775"/>
      <c r="J28" s="775"/>
      <c r="L28" s="829"/>
      <c r="M28" s="829"/>
      <c r="N28" s="829"/>
      <c r="O28" s="830"/>
      <c r="P28" s="830"/>
      <c r="Q28" s="384"/>
      <c r="R28" s="771"/>
      <c r="S28" s="771"/>
      <c r="T28" s="771"/>
      <c r="U28" s="761"/>
      <c r="V28" s="761"/>
      <c r="W28" s="384"/>
      <c r="X28" s="771"/>
      <c r="Y28" s="771"/>
      <c r="Z28" s="771"/>
      <c r="AA28" s="761"/>
      <c r="AB28" s="761"/>
      <c r="AC28" s="384"/>
      <c r="AD28" s="821"/>
      <c r="AE28" s="821"/>
      <c r="AF28" s="821"/>
      <c r="AG28" s="822"/>
      <c r="AH28" s="822"/>
      <c r="AI28" s="513"/>
      <c r="AJ28" s="821"/>
      <c r="AK28" s="821"/>
      <c r="AL28" s="821"/>
      <c r="AM28" s="822"/>
      <c r="AN28" s="822"/>
      <c r="AO28" s="384"/>
      <c r="AP28" s="771"/>
      <c r="AQ28" s="771"/>
      <c r="AR28" s="771"/>
      <c r="AS28" s="761"/>
      <c r="AT28" s="761"/>
      <c r="AU28" s="384"/>
      <c r="AV28" s="526"/>
      <c r="AW28" s="526"/>
      <c r="AX28" s="526">
        <f t="shared" si="0"/>
        <v>0</v>
      </c>
      <c r="AY28" s="527"/>
      <c r="AZ28" s="527">
        <f t="shared" si="2"/>
        <v>0</v>
      </c>
      <c r="BA28" s="384"/>
      <c r="BB28" s="771"/>
      <c r="BC28" s="771"/>
      <c r="BD28" s="771"/>
      <c r="BE28" s="761"/>
      <c r="BF28" s="761"/>
      <c r="BG28" s="384"/>
      <c r="BH28" s="774"/>
      <c r="BI28" s="774"/>
      <c r="BJ28" s="774"/>
      <c r="BK28" s="775"/>
      <c r="BL28" s="775"/>
      <c r="BM28" s="385"/>
      <c r="BN28" s="774"/>
      <c r="BO28" s="774"/>
      <c r="BP28" s="774"/>
      <c r="BQ28" s="775"/>
      <c r="BR28" s="775"/>
      <c r="BS28" s="385"/>
      <c r="BT28" s="774"/>
      <c r="BU28" s="774"/>
      <c r="BV28" s="774"/>
      <c r="BW28" s="775"/>
      <c r="BX28" s="775"/>
    </row>
    <row r="29" spans="3:76" ht="15">
      <c r="C29" s="387" t="s">
        <v>155</v>
      </c>
      <c r="D29" s="388">
        <v>30</v>
      </c>
      <c r="E29" s="384"/>
      <c r="F29" s="774"/>
      <c r="G29" s="774"/>
      <c r="H29" s="774"/>
      <c r="I29" s="775"/>
      <c r="J29" s="775"/>
      <c r="L29" s="829"/>
      <c r="M29" s="829"/>
      <c r="N29" s="829"/>
      <c r="O29" s="830"/>
      <c r="P29" s="830"/>
      <c r="Q29" s="384"/>
      <c r="R29" s="771"/>
      <c r="S29" s="771"/>
      <c r="T29" s="771"/>
      <c r="U29" s="761"/>
      <c r="V29" s="761"/>
      <c r="W29" s="384"/>
      <c r="X29" s="771"/>
      <c r="Y29" s="771"/>
      <c r="Z29" s="771"/>
      <c r="AA29" s="761"/>
      <c r="AB29" s="761"/>
      <c r="AC29" s="384"/>
      <c r="AD29" s="821"/>
      <c r="AE29" s="821"/>
      <c r="AF29" s="821"/>
      <c r="AG29" s="822"/>
      <c r="AH29" s="822"/>
      <c r="AI29" s="513"/>
      <c r="AJ29" s="821"/>
      <c r="AK29" s="821"/>
      <c r="AL29" s="821"/>
      <c r="AM29" s="822"/>
      <c r="AN29" s="822"/>
      <c r="AO29" s="384"/>
      <c r="AP29" s="771"/>
      <c r="AQ29" s="771"/>
      <c r="AR29" s="771"/>
      <c r="AS29" s="761"/>
      <c r="AT29" s="761"/>
      <c r="AU29" s="384"/>
      <c r="AV29" s="526"/>
      <c r="AW29" s="526"/>
      <c r="AX29" s="526">
        <f t="shared" si="0"/>
        <v>0</v>
      </c>
      <c r="AY29" s="527"/>
      <c r="AZ29" s="527">
        <f t="shared" si="2"/>
        <v>0</v>
      </c>
      <c r="BA29" s="384"/>
      <c r="BB29" s="771"/>
      <c r="BC29" s="771"/>
      <c r="BD29" s="771"/>
      <c r="BE29" s="761"/>
      <c r="BF29" s="761"/>
      <c r="BG29" s="384"/>
      <c r="BH29" s="774"/>
      <c r="BI29" s="774"/>
      <c r="BJ29" s="774"/>
      <c r="BK29" s="775"/>
      <c r="BL29" s="775"/>
      <c r="BM29" s="385"/>
      <c r="BN29" s="774"/>
      <c r="BO29" s="774"/>
      <c r="BP29" s="774"/>
      <c r="BQ29" s="775"/>
      <c r="BR29" s="775"/>
      <c r="BS29" s="385"/>
      <c r="BT29" s="774"/>
      <c r="BU29" s="774"/>
      <c r="BV29" s="774"/>
      <c r="BW29" s="775"/>
      <c r="BX29" s="775"/>
    </row>
    <row r="30" spans="3:76" ht="15">
      <c r="C30" s="387" t="s">
        <v>156</v>
      </c>
      <c r="D30" s="388">
        <v>31</v>
      </c>
      <c r="E30" s="384"/>
      <c r="F30" s="774"/>
      <c r="G30" s="774"/>
      <c r="H30" s="774"/>
      <c r="I30" s="775"/>
      <c r="J30" s="775"/>
      <c r="L30" s="829"/>
      <c r="M30" s="829"/>
      <c r="N30" s="829"/>
      <c r="O30" s="830"/>
      <c r="P30" s="830"/>
      <c r="Q30" s="384"/>
      <c r="R30" s="771"/>
      <c r="S30" s="771"/>
      <c r="T30" s="771"/>
      <c r="U30" s="761"/>
      <c r="V30" s="761"/>
      <c r="W30" s="384"/>
      <c r="X30" s="771"/>
      <c r="Y30" s="771"/>
      <c r="Z30" s="771"/>
      <c r="AA30" s="761"/>
      <c r="AB30" s="761"/>
      <c r="AC30" s="384"/>
      <c r="AD30" s="821"/>
      <c r="AE30" s="821"/>
      <c r="AF30" s="821"/>
      <c r="AG30" s="822"/>
      <c r="AH30" s="822"/>
      <c r="AI30" s="513"/>
      <c r="AJ30" s="821"/>
      <c r="AK30" s="821"/>
      <c r="AL30" s="821"/>
      <c r="AM30" s="822"/>
      <c r="AN30" s="822"/>
      <c r="AO30" s="384"/>
      <c r="AP30" s="771"/>
      <c r="AQ30" s="771"/>
      <c r="AR30" s="771"/>
      <c r="AS30" s="761"/>
      <c r="AT30" s="761"/>
      <c r="AU30" s="384"/>
      <c r="AV30" s="526"/>
      <c r="AW30" s="526"/>
      <c r="AX30" s="526">
        <f t="shared" si="0"/>
        <v>0</v>
      </c>
      <c r="AY30" s="527"/>
      <c r="AZ30" s="527">
        <f t="shared" si="2"/>
        <v>0</v>
      </c>
      <c r="BA30" s="384"/>
      <c r="BB30" s="771"/>
      <c r="BC30" s="771"/>
      <c r="BD30" s="771"/>
      <c r="BE30" s="761"/>
      <c r="BF30" s="761"/>
      <c r="BG30" s="384"/>
      <c r="BH30" s="774"/>
      <c r="BI30" s="774"/>
      <c r="BJ30" s="774"/>
      <c r="BK30" s="775"/>
      <c r="BL30" s="775"/>
      <c r="BM30" s="385"/>
      <c r="BN30" s="774"/>
      <c r="BO30" s="774"/>
      <c r="BP30" s="774"/>
      <c r="BQ30" s="775"/>
      <c r="BR30" s="775"/>
      <c r="BS30" s="385"/>
      <c r="BT30" s="774"/>
      <c r="BU30" s="774"/>
      <c r="BV30" s="774"/>
      <c r="BW30" s="775"/>
      <c r="BX30" s="775"/>
    </row>
    <row r="31" spans="3:76" ht="15">
      <c r="C31" s="387" t="s">
        <v>157</v>
      </c>
      <c r="D31" s="388">
        <v>30</v>
      </c>
      <c r="E31" s="384"/>
      <c r="F31" s="774"/>
      <c r="G31" s="774"/>
      <c r="H31" s="774"/>
      <c r="I31" s="775"/>
      <c r="J31" s="775"/>
      <c r="L31" s="829"/>
      <c r="M31" s="829"/>
      <c r="N31" s="829"/>
      <c r="O31" s="830"/>
      <c r="P31" s="830"/>
      <c r="Q31" s="384"/>
      <c r="R31" s="771"/>
      <c r="S31" s="771"/>
      <c r="T31" s="771"/>
      <c r="U31" s="761"/>
      <c r="V31" s="761"/>
      <c r="W31" s="384"/>
      <c r="X31" s="771"/>
      <c r="Y31" s="771"/>
      <c r="Z31" s="771"/>
      <c r="AA31" s="761"/>
      <c r="AB31" s="761"/>
      <c r="AC31" s="384"/>
      <c r="AD31" s="821"/>
      <c r="AE31" s="821"/>
      <c r="AF31" s="821"/>
      <c r="AG31" s="822"/>
      <c r="AH31" s="822"/>
      <c r="AI31" s="513"/>
      <c r="AJ31" s="821"/>
      <c r="AK31" s="821"/>
      <c r="AL31" s="821"/>
      <c r="AM31" s="822"/>
      <c r="AN31" s="822"/>
      <c r="AO31" s="384"/>
      <c r="AP31" s="771"/>
      <c r="AQ31" s="771"/>
      <c r="AR31" s="771"/>
      <c r="AS31" s="761"/>
      <c r="AT31" s="761"/>
      <c r="AU31" s="384"/>
      <c r="AV31" s="526"/>
      <c r="AW31" s="526"/>
      <c r="AX31" s="526">
        <f t="shared" si="0"/>
        <v>0</v>
      </c>
      <c r="AY31" s="527"/>
      <c r="AZ31" s="527">
        <f t="shared" si="2"/>
        <v>0</v>
      </c>
      <c r="BA31" s="384"/>
      <c r="BB31" s="771"/>
      <c r="BC31" s="771"/>
      <c r="BD31" s="771"/>
      <c r="BE31" s="761"/>
      <c r="BF31" s="761"/>
      <c r="BG31" s="384"/>
      <c r="BH31" s="774"/>
      <c r="BI31" s="774"/>
      <c r="BJ31" s="774"/>
      <c r="BK31" s="775"/>
      <c r="BL31" s="775"/>
      <c r="BM31" s="385"/>
      <c r="BN31" s="774"/>
      <c r="BO31" s="774"/>
      <c r="BP31" s="774"/>
      <c r="BQ31" s="775"/>
      <c r="BR31" s="775"/>
      <c r="BS31" s="385"/>
      <c r="BT31" s="774"/>
      <c r="BU31" s="774"/>
      <c r="BV31" s="774"/>
      <c r="BW31" s="775"/>
      <c r="BX31" s="775"/>
    </row>
    <row r="32" spans="3:76" ht="15">
      <c r="C32" s="387" t="s">
        <v>158</v>
      </c>
      <c r="D32" s="388">
        <v>31</v>
      </c>
      <c r="E32" s="384"/>
      <c r="F32" s="774"/>
      <c r="G32" s="774"/>
      <c r="H32" s="774"/>
      <c r="I32" s="775"/>
      <c r="J32" s="775"/>
      <c r="L32" s="829"/>
      <c r="M32" s="829"/>
      <c r="N32" s="829"/>
      <c r="O32" s="830"/>
      <c r="P32" s="830"/>
      <c r="Q32" s="384"/>
      <c r="R32" s="771"/>
      <c r="S32" s="771"/>
      <c r="T32" s="771"/>
      <c r="U32" s="761"/>
      <c r="V32" s="761"/>
      <c r="W32" s="384"/>
      <c r="X32" s="771"/>
      <c r="Y32" s="771"/>
      <c r="Z32" s="771"/>
      <c r="AA32" s="761"/>
      <c r="AB32" s="761"/>
      <c r="AC32" s="384"/>
      <c r="AD32" s="821"/>
      <c r="AE32" s="821"/>
      <c r="AF32" s="821"/>
      <c r="AG32" s="822"/>
      <c r="AH32" s="822"/>
      <c r="AI32" s="513"/>
      <c r="AJ32" s="821"/>
      <c r="AK32" s="821"/>
      <c r="AL32" s="821"/>
      <c r="AM32" s="822"/>
      <c r="AN32" s="822"/>
      <c r="AO32" s="384"/>
      <c r="AP32" s="771"/>
      <c r="AQ32" s="771"/>
      <c r="AR32" s="771"/>
      <c r="AS32" s="761"/>
      <c r="AT32" s="761"/>
      <c r="AU32" s="384"/>
      <c r="AV32" s="526"/>
      <c r="AW32" s="526"/>
      <c r="AX32" s="526">
        <f t="shared" si="0"/>
        <v>0</v>
      </c>
      <c r="AY32" s="527"/>
      <c r="AZ32" s="527">
        <f t="shared" si="2"/>
        <v>0</v>
      </c>
      <c r="BA32" s="384"/>
      <c r="BB32" s="771"/>
      <c r="BC32" s="771"/>
      <c r="BD32" s="771"/>
      <c r="BE32" s="761"/>
      <c r="BF32" s="761"/>
      <c r="BG32" s="384"/>
      <c r="BH32" s="774"/>
      <c r="BI32" s="774"/>
      <c r="BJ32" s="774"/>
      <c r="BK32" s="775"/>
      <c r="BL32" s="775"/>
      <c r="BM32" s="385"/>
      <c r="BN32" s="774"/>
      <c r="BO32" s="774"/>
      <c r="BP32" s="774"/>
      <c r="BQ32" s="775"/>
      <c r="BR32" s="775"/>
      <c r="BS32" s="385"/>
      <c r="BT32" s="774"/>
      <c r="BU32" s="774"/>
      <c r="BV32" s="774"/>
      <c r="BW32" s="775"/>
      <c r="BX32" s="775"/>
    </row>
    <row r="33" spans="2:76" ht="15.75">
      <c r="B33" s="395"/>
      <c r="C33" s="396"/>
      <c r="E33" s="397"/>
      <c r="F33" s="425">
        <f>SUM(F21:F32)</f>
        <v>148</v>
      </c>
      <c r="G33" s="425">
        <f>SUM(G21:G32)</f>
        <v>0</v>
      </c>
      <c r="H33" s="505"/>
      <c r="I33" s="425">
        <f>SUM(I21:I32)</f>
        <v>1471.06</v>
      </c>
      <c r="J33" s="425">
        <f>SUM(J21:J32)</f>
        <v>1779.9825999999998</v>
      </c>
      <c r="L33" s="419">
        <f>SUM(L21:L32)</f>
        <v>0</v>
      </c>
      <c r="M33" s="419">
        <f>SUM(M21:M32)</f>
        <v>0</v>
      </c>
      <c r="O33" s="419">
        <f>SUM(O21:O32)</f>
        <v>0</v>
      </c>
      <c r="P33" s="419">
        <f>SUM(P21:P32)</f>
        <v>0</v>
      </c>
      <c r="Q33" s="397"/>
      <c r="R33" s="419">
        <f>SUM(R21:R32)</f>
        <v>10365</v>
      </c>
      <c r="S33" s="419">
        <f>SUM(S21:S32)</f>
        <v>0</v>
      </c>
      <c r="U33" s="419">
        <f>SUM(U21:U32)</f>
        <v>21756.59</v>
      </c>
      <c r="V33" s="419">
        <f>SUM(V21:V32)</f>
        <v>26325.4739</v>
      </c>
      <c r="W33" s="397"/>
      <c r="X33" s="419">
        <f>SUM(X21:X32)</f>
        <v>2324</v>
      </c>
      <c r="Y33" s="419">
        <f>SUM(Y21:Y32)</f>
        <v>0</v>
      </c>
      <c r="AA33" s="419">
        <f>SUM(AA21:AA32)</f>
        <v>5740.15</v>
      </c>
      <c r="AB33" s="419">
        <f>SUM(AB21:AB32)</f>
        <v>6945.581499999999</v>
      </c>
      <c r="AC33" s="397"/>
      <c r="AD33" s="516">
        <f>SUM(AD21:AD32)</f>
        <v>7666</v>
      </c>
      <c r="AE33" s="516">
        <f>SUM(AE21:AE32)</f>
        <v>0</v>
      </c>
      <c r="AF33" s="508"/>
      <c r="AG33" s="516">
        <f>SUM(AG21:AG32)</f>
        <v>29995.53</v>
      </c>
      <c r="AH33" s="516">
        <f>SUM(AH21:AH32)</f>
        <v>36294.5913</v>
      </c>
      <c r="AI33" s="517"/>
      <c r="AJ33" s="516">
        <f>SUM(AJ21:AJ32)</f>
        <v>32</v>
      </c>
      <c r="AK33" s="516">
        <f>SUM(AK21:AK32)</f>
        <v>0</v>
      </c>
      <c r="AL33" s="508"/>
      <c r="AM33" s="516">
        <f>SUM(AM21:AM32)</f>
        <v>1703.94</v>
      </c>
      <c r="AN33" s="516">
        <f>SUM(AN21:AN32)</f>
        <v>2061.7674</v>
      </c>
      <c r="AO33" s="397"/>
      <c r="AP33" s="419">
        <f>SUM(AP21:AP32)</f>
        <v>47316</v>
      </c>
      <c r="AQ33" s="419">
        <f>SUM(AQ21:AQ32)</f>
        <v>0</v>
      </c>
      <c r="AR33" s="392"/>
      <c r="AS33" s="419">
        <f>SUM(AS21:AS32)</f>
        <v>89661.24</v>
      </c>
      <c r="AT33" s="419">
        <f>SUM(AT21:AT32)</f>
        <v>108490.10040000001</v>
      </c>
      <c r="AU33" s="397"/>
      <c r="AV33" s="419">
        <f>SUM(AV21:AV32)</f>
        <v>0</v>
      </c>
      <c r="AW33" s="419">
        <f>SUM(AW21:AW32)</f>
        <v>0</v>
      </c>
      <c r="AY33" s="419">
        <f>SUM(AY21:AY32)</f>
        <v>0</v>
      </c>
      <c r="AZ33" s="419">
        <f>SUM(AZ21:AZ32)</f>
        <v>0</v>
      </c>
      <c r="BA33" s="397"/>
      <c r="BB33" s="419">
        <f>SUM(BB21:BB32)</f>
        <v>22134</v>
      </c>
      <c r="BC33" s="419">
        <f>SUM(BC21:BC32)</f>
        <v>0</v>
      </c>
      <c r="BE33" s="419">
        <f>SUM(BE21:BE32)</f>
        <v>41157.72</v>
      </c>
      <c r="BF33" s="419">
        <f>SUM(BF21:BF32)</f>
        <v>49800.8412</v>
      </c>
      <c r="BG33" s="397"/>
      <c r="BH33" s="425">
        <f>SUM(BH21:BH32)</f>
        <v>32</v>
      </c>
      <c r="BI33" s="425">
        <f>SUM(BI21:BI32)</f>
        <v>0</v>
      </c>
      <c r="BJ33" s="470"/>
      <c r="BK33" s="425">
        <f>SUM(BK21:BK32)</f>
        <v>1703.94</v>
      </c>
      <c r="BL33" s="425">
        <f>SUM(BL21:BL32)</f>
        <v>2061.7674</v>
      </c>
      <c r="BM33" s="385"/>
      <c r="BN33" s="425">
        <f>SUM(BN21:BN32)</f>
        <v>148</v>
      </c>
      <c r="BO33" s="425">
        <f>SUM(BO21:BO32)</f>
        <v>0</v>
      </c>
      <c r="BP33" s="470"/>
      <c r="BQ33" s="425">
        <f>SUM(BQ21:BQ32)</f>
        <v>1471.06</v>
      </c>
      <c r="BR33" s="425">
        <f>SUM(BR21:BR32)</f>
        <v>1779.9825999999998</v>
      </c>
      <c r="BS33" s="385"/>
      <c r="BT33" s="425">
        <f>SUM(BT21:BT32)</f>
        <v>7666</v>
      </c>
      <c r="BU33" s="425">
        <f>SUM(BU21:BU32)</f>
        <v>0</v>
      </c>
      <c r="BV33" s="470"/>
      <c r="BW33" s="425">
        <f>SUM(BW21:BW32)</f>
        <v>29995.53</v>
      </c>
      <c r="BX33" s="425">
        <f>SUM(BX21:BX32)</f>
        <v>36294.5913</v>
      </c>
    </row>
    <row r="34" spans="2:76" ht="15.75" customHeight="1" outlineLevel="1">
      <c r="B34" s="395"/>
      <c r="C34" s="396"/>
      <c r="E34" s="397"/>
      <c r="F34" s="528"/>
      <c r="G34" s="528"/>
      <c r="H34" s="528"/>
      <c r="I34" s="529"/>
      <c r="J34" s="529"/>
      <c r="L34" s="453"/>
      <c r="M34" s="453"/>
      <c r="N34" s="453"/>
      <c r="O34" s="402"/>
      <c r="P34" s="402"/>
      <c r="Q34" s="397"/>
      <c r="R34" s="453"/>
      <c r="S34" s="453"/>
      <c r="T34" s="453"/>
      <c r="U34" s="402"/>
      <c r="V34" s="402"/>
      <c r="W34" s="397"/>
      <c r="X34" s="453"/>
      <c r="Y34" s="453"/>
      <c r="Z34" s="453"/>
      <c r="AA34" s="402"/>
      <c r="AB34" s="402"/>
      <c r="AC34" s="397"/>
      <c r="AD34" s="530"/>
      <c r="AE34" s="530"/>
      <c r="AF34" s="530"/>
      <c r="AG34" s="531"/>
      <c r="AH34" s="531"/>
      <c r="AI34" s="517"/>
      <c r="AJ34" s="530"/>
      <c r="AK34" s="530"/>
      <c r="AL34" s="530"/>
      <c r="AM34" s="531"/>
      <c r="AN34" s="531"/>
      <c r="AO34" s="397"/>
      <c r="AP34" s="453"/>
      <c r="AQ34" s="453"/>
      <c r="AR34" s="453"/>
      <c r="AS34" s="402"/>
      <c r="AT34" s="402"/>
      <c r="AU34" s="397"/>
      <c r="AV34" s="453"/>
      <c r="AW34" s="453"/>
      <c r="AX34" s="453"/>
      <c r="AY34" s="402"/>
      <c r="AZ34" s="402"/>
      <c r="BA34" s="397"/>
      <c r="BB34" s="453"/>
      <c r="BC34" s="453"/>
      <c r="BD34" s="453"/>
      <c r="BE34" s="402"/>
      <c r="BF34" s="402"/>
      <c r="BG34" s="397"/>
      <c r="BH34" s="528"/>
      <c r="BI34" s="528"/>
      <c r="BJ34" s="528"/>
      <c r="BK34" s="529"/>
      <c r="BL34" s="529"/>
      <c r="BM34" s="385"/>
      <c r="BN34" s="528"/>
      <c r="BO34" s="528"/>
      <c r="BP34" s="528"/>
      <c r="BQ34" s="529"/>
      <c r="BR34" s="529"/>
      <c r="BS34" s="385"/>
      <c r="BT34" s="528"/>
      <c r="BU34" s="528"/>
      <c r="BV34" s="528"/>
      <c r="BW34" s="529"/>
      <c r="BX34" s="529"/>
    </row>
    <row r="35" spans="2:76" ht="21" customHeight="1" outlineLevel="1">
      <c r="B35" s="386">
        <f>B21+1</f>
        <v>2018</v>
      </c>
      <c r="C35" s="387" t="s">
        <v>147</v>
      </c>
      <c r="D35" s="388">
        <v>31</v>
      </c>
      <c r="E35" s="389"/>
      <c r="F35" s="847" t="s">
        <v>212</v>
      </c>
      <c r="G35" s="704"/>
      <c r="H35" s="704"/>
      <c r="I35" s="742"/>
      <c r="J35" s="742"/>
      <c r="L35" s="850"/>
      <c r="M35" s="837"/>
      <c r="N35" s="837"/>
      <c r="O35" s="755"/>
      <c r="P35" s="755"/>
      <c r="Q35" s="389"/>
      <c r="R35" s="841" t="s">
        <v>212</v>
      </c>
      <c r="S35" s="686"/>
      <c r="T35" s="686"/>
      <c r="U35" s="736"/>
      <c r="V35" s="736"/>
      <c r="W35" s="389"/>
      <c r="X35" s="841" t="s">
        <v>212</v>
      </c>
      <c r="Y35" s="686"/>
      <c r="Z35" s="686"/>
      <c r="AA35" s="736"/>
      <c r="AB35" s="736"/>
      <c r="AC35" s="389"/>
      <c r="AD35" s="844" t="s">
        <v>212</v>
      </c>
      <c r="AE35" s="831"/>
      <c r="AF35" s="831"/>
      <c r="AG35" s="834"/>
      <c r="AH35" s="834"/>
      <c r="AI35" s="510"/>
      <c r="AJ35" s="844" t="s">
        <v>212</v>
      </c>
      <c r="AK35" s="831"/>
      <c r="AL35" s="831"/>
      <c r="AM35" s="834"/>
      <c r="AN35" s="834"/>
      <c r="AO35" s="389"/>
      <c r="AP35" s="841" t="s">
        <v>212</v>
      </c>
      <c r="AQ35" s="686"/>
      <c r="AR35" s="686"/>
      <c r="AS35" s="736"/>
      <c r="AT35" s="736"/>
      <c r="AU35" s="389"/>
      <c r="AV35" s="525"/>
      <c r="AW35" s="526"/>
      <c r="AX35" s="526">
        <f aca="true" t="shared" si="3" ref="AX35:AX46">AV35+AW35</f>
        <v>0</v>
      </c>
      <c r="AY35" s="527"/>
      <c r="AZ35" s="527">
        <f aca="true" t="shared" si="4" ref="AZ35:AZ46">AY35*1.21</f>
        <v>0</v>
      </c>
      <c r="BA35" s="389"/>
      <c r="BB35" s="532" t="s">
        <v>212</v>
      </c>
      <c r="BC35" s="392"/>
      <c r="BD35" s="392"/>
      <c r="BE35" s="465"/>
      <c r="BF35" s="465"/>
      <c r="BG35" s="389"/>
      <c r="BH35" s="840" t="s">
        <v>212</v>
      </c>
      <c r="BI35" s="774"/>
      <c r="BJ35" s="774"/>
      <c r="BK35" s="775"/>
      <c r="BL35" s="775"/>
      <c r="BM35" s="385"/>
      <c r="BN35" s="840" t="s">
        <v>212</v>
      </c>
      <c r="BO35" s="774"/>
      <c r="BP35" s="774"/>
      <c r="BQ35" s="775"/>
      <c r="BR35" s="775"/>
      <c r="BS35" s="385"/>
      <c r="BT35" s="840" t="s">
        <v>212</v>
      </c>
      <c r="BU35" s="774"/>
      <c r="BV35" s="774"/>
      <c r="BW35" s="775"/>
      <c r="BX35" s="775"/>
    </row>
    <row r="36" spans="3:76" ht="15" customHeight="1" outlineLevel="1">
      <c r="C36" s="387" t="s">
        <v>148</v>
      </c>
      <c r="D36" s="388">
        <v>28</v>
      </c>
      <c r="E36" s="384"/>
      <c r="F36" s="848"/>
      <c r="G36" s="705"/>
      <c r="H36" s="705"/>
      <c r="I36" s="808"/>
      <c r="J36" s="808"/>
      <c r="L36" s="851"/>
      <c r="M36" s="838"/>
      <c r="N36" s="838"/>
      <c r="O36" s="756"/>
      <c r="P36" s="756"/>
      <c r="Q36" s="384"/>
      <c r="R36" s="842"/>
      <c r="S36" s="687"/>
      <c r="T36" s="687"/>
      <c r="U36" s="737"/>
      <c r="V36" s="737"/>
      <c r="W36" s="384"/>
      <c r="X36" s="842"/>
      <c r="Y36" s="687"/>
      <c r="Z36" s="687"/>
      <c r="AA36" s="737"/>
      <c r="AB36" s="737"/>
      <c r="AC36" s="384"/>
      <c r="AD36" s="845"/>
      <c r="AE36" s="832"/>
      <c r="AF36" s="832"/>
      <c r="AG36" s="835"/>
      <c r="AH36" s="835"/>
      <c r="AI36" s="513"/>
      <c r="AJ36" s="845"/>
      <c r="AK36" s="832"/>
      <c r="AL36" s="832"/>
      <c r="AM36" s="835"/>
      <c r="AN36" s="835"/>
      <c r="AO36" s="384"/>
      <c r="AP36" s="842"/>
      <c r="AQ36" s="687"/>
      <c r="AR36" s="687"/>
      <c r="AS36" s="737"/>
      <c r="AT36" s="737"/>
      <c r="AU36" s="384"/>
      <c r="AV36" s="525"/>
      <c r="AW36" s="526"/>
      <c r="AX36" s="526">
        <f t="shared" si="3"/>
        <v>0</v>
      </c>
      <c r="AY36" s="527"/>
      <c r="AZ36" s="527"/>
      <c r="BA36" s="384"/>
      <c r="BB36" s="771">
        <v>12697</v>
      </c>
      <c r="BC36" s="771">
        <v>0</v>
      </c>
      <c r="BD36" s="771">
        <f>BB36+BC36</f>
        <v>12697</v>
      </c>
      <c r="BE36" s="761">
        <v>24934.68</v>
      </c>
      <c r="BF36" s="736">
        <f>BE36*1.21</f>
        <v>30170.9628</v>
      </c>
      <c r="BG36" s="384"/>
      <c r="BH36" s="840"/>
      <c r="BI36" s="774"/>
      <c r="BJ36" s="774"/>
      <c r="BK36" s="775"/>
      <c r="BL36" s="775"/>
      <c r="BM36" s="385"/>
      <c r="BN36" s="840"/>
      <c r="BO36" s="774"/>
      <c r="BP36" s="774"/>
      <c r="BQ36" s="775"/>
      <c r="BR36" s="775"/>
      <c r="BS36" s="385"/>
      <c r="BT36" s="840"/>
      <c r="BU36" s="774"/>
      <c r="BV36" s="774"/>
      <c r="BW36" s="775"/>
      <c r="BX36" s="775"/>
    </row>
    <row r="37" spans="3:76" ht="15" customHeight="1" outlineLevel="1">
      <c r="C37" s="387" t="s">
        <v>149</v>
      </c>
      <c r="D37" s="388">
        <v>31</v>
      </c>
      <c r="E37" s="384"/>
      <c r="F37" s="848"/>
      <c r="G37" s="705"/>
      <c r="H37" s="705"/>
      <c r="I37" s="808"/>
      <c r="J37" s="808"/>
      <c r="L37" s="851"/>
      <c r="M37" s="838"/>
      <c r="N37" s="838"/>
      <c r="O37" s="756"/>
      <c r="P37" s="756"/>
      <c r="Q37" s="384"/>
      <c r="R37" s="842"/>
      <c r="S37" s="687"/>
      <c r="T37" s="687"/>
      <c r="U37" s="737"/>
      <c r="V37" s="737"/>
      <c r="W37" s="384"/>
      <c r="X37" s="842"/>
      <c r="Y37" s="687"/>
      <c r="Z37" s="687"/>
      <c r="AA37" s="737"/>
      <c r="AB37" s="737"/>
      <c r="AC37" s="384"/>
      <c r="AD37" s="845"/>
      <c r="AE37" s="832"/>
      <c r="AF37" s="832"/>
      <c r="AG37" s="835"/>
      <c r="AH37" s="835"/>
      <c r="AI37" s="513"/>
      <c r="AJ37" s="845"/>
      <c r="AK37" s="832"/>
      <c r="AL37" s="832"/>
      <c r="AM37" s="835"/>
      <c r="AN37" s="835"/>
      <c r="AO37" s="384"/>
      <c r="AP37" s="842"/>
      <c r="AQ37" s="687"/>
      <c r="AR37" s="687"/>
      <c r="AS37" s="737"/>
      <c r="AT37" s="737"/>
      <c r="AU37" s="384"/>
      <c r="AV37" s="525"/>
      <c r="AW37" s="526"/>
      <c r="AX37" s="526">
        <f t="shared" si="3"/>
        <v>0</v>
      </c>
      <c r="AY37" s="527"/>
      <c r="AZ37" s="527"/>
      <c r="BA37" s="384"/>
      <c r="BB37" s="771"/>
      <c r="BC37" s="771"/>
      <c r="BD37" s="771"/>
      <c r="BE37" s="761"/>
      <c r="BF37" s="737"/>
      <c r="BG37" s="384"/>
      <c r="BH37" s="840"/>
      <c r="BI37" s="774"/>
      <c r="BJ37" s="774"/>
      <c r="BK37" s="775"/>
      <c r="BL37" s="775"/>
      <c r="BM37" s="385"/>
      <c r="BN37" s="840"/>
      <c r="BO37" s="774"/>
      <c r="BP37" s="774"/>
      <c r="BQ37" s="775"/>
      <c r="BR37" s="775"/>
      <c r="BS37" s="385"/>
      <c r="BT37" s="840"/>
      <c r="BU37" s="774"/>
      <c r="BV37" s="774"/>
      <c r="BW37" s="775"/>
      <c r="BX37" s="775"/>
    </row>
    <row r="38" spans="3:76" ht="15" customHeight="1" outlineLevel="1">
      <c r="C38" s="387" t="s">
        <v>150</v>
      </c>
      <c r="D38" s="388">
        <v>30</v>
      </c>
      <c r="E38" s="384"/>
      <c r="F38" s="849"/>
      <c r="G38" s="720"/>
      <c r="H38" s="720"/>
      <c r="I38" s="743"/>
      <c r="J38" s="743"/>
      <c r="L38" s="852"/>
      <c r="M38" s="839"/>
      <c r="N38" s="839"/>
      <c r="O38" s="757"/>
      <c r="P38" s="757"/>
      <c r="Q38" s="384"/>
      <c r="R38" s="843"/>
      <c r="S38" s="727"/>
      <c r="T38" s="727"/>
      <c r="U38" s="741"/>
      <c r="V38" s="741"/>
      <c r="W38" s="384"/>
      <c r="X38" s="843"/>
      <c r="Y38" s="727"/>
      <c r="Z38" s="727"/>
      <c r="AA38" s="741"/>
      <c r="AB38" s="741"/>
      <c r="AC38" s="384"/>
      <c r="AD38" s="846"/>
      <c r="AE38" s="833"/>
      <c r="AF38" s="833"/>
      <c r="AG38" s="836"/>
      <c r="AH38" s="836"/>
      <c r="AI38" s="513"/>
      <c r="AJ38" s="846"/>
      <c r="AK38" s="833"/>
      <c r="AL38" s="833"/>
      <c r="AM38" s="836"/>
      <c r="AN38" s="836"/>
      <c r="AO38" s="384"/>
      <c r="AP38" s="843"/>
      <c r="AQ38" s="727"/>
      <c r="AR38" s="727"/>
      <c r="AS38" s="741"/>
      <c r="AT38" s="741"/>
      <c r="AU38" s="384"/>
      <c r="AV38" s="525"/>
      <c r="AW38" s="526"/>
      <c r="AX38" s="526">
        <f t="shared" si="3"/>
        <v>0</v>
      </c>
      <c r="AY38" s="527"/>
      <c r="AZ38" s="527"/>
      <c r="BA38" s="384"/>
      <c r="BB38" s="771"/>
      <c r="BC38" s="771"/>
      <c r="BD38" s="771"/>
      <c r="BE38" s="761"/>
      <c r="BF38" s="737"/>
      <c r="BG38" s="384"/>
      <c r="BH38" s="840"/>
      <c r="BI38" s="774"/>
      <c r="BJ38" s="774"/>
      <c r="BK38" s="775"/>
      <c r="BL38" s="775"/>
      <c r="BM38" s="385"/>
      <c r="BN38" s="840"/>
      <c r="BO38" s="774"/>
      <c r="BP38" s="774"/>
      <c r="BQ38" s="775"/>
      <c r="BR38" s="775"/>
      <c r="BS38" s="385"/>
      <c r="BT38" s="840"/>
      <c r="BU38" s="774"/>
      <c r="BV38" s="774"/>
      <c r="BW38" s="775"/>
      <c r="BX38" s="775"/>
    </row>
    <row r="39" spans="3:76" ht="15" customHeight="1" outlineLevel="1">
      <c r="C39" s="387" t="s">
        <v>151</v>
      </c>
      <c r="D39" s="388">
        <v>31</v>
      </c>
      <c r="E39" s="384"/>
      <c r="F39" s="704">
        <v>48</v>
      </c>
      <c r="G39" s="704">
        <v>0</v>
      </c>
      <c r="H39" s="704">
        <f>F39+G39</f>
        <v>48</v>
      </c>
      <c r="I39" s="742">
        <v>510.5</v>
      </c>
      <c r="J39" s="742">
        <f>I39*1.21</f>
        <v>617.7049999999999</v>
      </c>
      <c r="L39" s="837"/>
      <c r="M39" s="837">
        <v>0</v>
      </c>
      <c r="N39" s="837">
        <f>L39+M39</f>
        <v>0</v>
      </c>
      <c r="O39" s="755"/>
      <c r="P39" s="755">
        <f>O39*1.21</f>
        <v>0</v>
      </c>
      <c r="Q39" s="384"/>
      <c r="R39" s="686">
        <v>3034</v>
      </c>
      <c r="S39" s="686">
        <v>0</v>
      </c>
      <c r="T39" s="686">
        <f>R39+S39</f>
        <v>3034</v>
      </c>
      <c r="U39" s="736">
        <v>6732.83</v>
      </c>
      <c r="V39" s="736">
        <f>U39*1.21</f>
        <v>8146.7243</v>
      </c>
      <c r="W39" s="384"/>
      <c r="X39" s="686">
        <v>509</v>
      </c>
      <c r="Y39" s="686">
        <v>0</v>
      </c>
      <c r="Z39" s="686">
        <f>X39+Y39</f>
        <v>509</v>
      </c>
      <c r="AA39" s="736">
        <v>1454.44</v>
      </c>
      <c r="AB39" s="736">
        <f>AA39*1.21</f>
        <v>1759.8724</v>
      </c>
      <c r="AC39" s="384"/>
      <c r="AD39" s="831">
        <v>2349</v>
      </c>
      <c r="AE39" s="831">
        <v>0</v>
      </c>
      <c r="AF39" s="831">
        <f>AD39+AE39</f>
        <v>2349</v>
      </c>
      <c r="AG39" s="834">
        <v>9504.14</v>
      </c>
      <c r="AH39" s="834">
        <f>AG39*1.21</f>
        <v>11500.009399999999</v>
      </c>
      <c r="AI39" s="513"/>
      <c r="AJ39" s="831">
        <v>10</v>
      </c>
      <c r="AK39" s="831">
        <v>0</v>
      </c>
      <c r="AL39" s="831">
        <f>AJ39+AK39</f>
        <v>10</v>
      </c>
      <c r="AM39" s="834">
        <v>601.53</v>
      </c>
      <c r="AN39" s="834">
        <f>AM39*1.21</f>
        <v>727.8512999999999</v>
      </c>
      <c r="AO39" s="384"/>
      <c r="AP39" s="686">
        <v>14924</v>
      </c>
      <c r="AQ39" s="686">
        <v>0</v>
      </c>
      <c r="AR39" s="686">
        <f>AP39+AQ39</f>
        <v>14924</v>
      </c>
      <c r="AS39" s="736">
        <v>29681.43</v>
      </c>
      <c r="AT39" s="736">
        <f>AS39*1.21</f>
        <v>35914.5303</v>
      </c>
      <c r="AU39" s="384"/>
      <c r="AV39" s="525"/>
      <c r="AW39" s="526"/>
      <c r="AX39" s="526">
        <f t="shared" si="3"/>
        <v>0</v>
      </c>
      <c r="AY39" s="527"/>
      <c r="AZ39" s="527"/>
      <c r="BA39" s="384"/>
      <c r="BB39" s="771"/>
      <c r="BC39" s="771"/>
      <c r="BD39" s="771"/>
      <c r="BE39" s="761"/>
      <c r="BF39" s="737"/>
      <c r="BG39" s="384"/>
      <c r="BH39" s="774">
        <v>34</v>
      </c>
      <c r="BI39" s="774">
        <v>0</v>
      </c>
      <c r="BJ39" s="774">
        <f>BH39+BI39</f>
        <v>34</v>
      </c>
      <c r="BK39" s="775">
        <v>1243.25</v>
      </c>
      <c r="BL39" s="775">
        <f>BK39*1.21</f>
        <v>1504.3325</v>
      </c>
      <c r="BM39" s="385"/>
      <c r="BN39" s="774">
        <v>48</v>
      </c>
      <c r="BO39" s="774">
        <v>0</v>
      </c>
      <c r="BP39" s="774">
        <f>BN39+BO39</f>
        <v>48</v>
      </c>
      <c r="BQ39" s="775">
        <v>510.5</v>
      </c>
      <c r="BR39" s="775">
        <f>BQ39*1.21</f>
        <v>617.7049999999999</v>
      </c>
      <c r="BS39" s="385"/>
      <c r="BT39" s="774">
        <v>2349</v>
      </c>
      <c r="BU39" s="774">
        <v>0</v>
      </c>
      <c r="BV39" s="774">
        <f>BT39+BU39</f>
        <v>2349</v>
      </c>
      <c r="BW39" s="775">
        <v>9504.14</v>
      </c>
      <c r="BX39" s="775">
        <f>BW39*1.21</f>
        <v>11500.009399999999</v>
      </c>
    </row>
    <row r="40" spans="3:76" ht="15" customHeight="1" outlineLevel="1">
      <c r="C40" s="387" t="s">
        <v>152</v>
      </c>
      <c r="D40" s="388">
        <v>30</v>
      </c>
      <c r="E40" s="384"/>
      <c r="F40" s="705"/>
      <c r="G40" s="705"/>
      <c r="H40" s="705"/>
      <c r="I40" s="808"/>
      <c r="J40" s="808"/>
      <c r="L40" s="838"/>
      <c r="M40" s="838"/>
      <c r="N40" s="838"/>
      <c r="O40" s="756"/>
      <c r="P40" s="756"/>
      <c r="Q40" s="384"/>
      <c r="R40" s="687"/>
      <c r="S40" s="687"/>
      <c r="T40" s="687"/>
      <c r="U40" s="737"/>
      <c r="V40" s="737"/>
      <c r="W40" s="384"/>
      <c r="X40" s="687"/>
      <c r="Y40" s="687"/>
      <c r="Z40" s="687"/>
      <c r="AA40" s="737"/>
      <c r="AB40" s="737"/>
      <c r="AC40" s="384"/>
      <c r="AD40" s="832"/>
      <c r="AE40" s="832"/>
      <c r="AF40" s="832"/>
      <c r="AG40" s="835"/>
      <c r="AH40" s="835"/>
      <c r="AI40" s="513"/>
      <c r="AJ40" s="832"/>
      <c r="AK40" s="832"/>
      <c r="AL40" s="832"/>
      <c r="AM40" s="835"/>
      <c r="AN40" s="835"/>
      <c r="AO40" s="384"/>
      <c r="AP40" s="687"/>
      <c r="AQ40" s="687"/>
      <c r="AR40" s="687"/>
      <c r="AS40" s="737"/>
      <c r="AT40" s="737"/>
      <c r="AU40" s="384"/>
      <c r="AV40" s="526"/>
      <c r="AW40" s="526"/>
      <c r="AX40" s="526">
        <f t="shared" si="3"/>
        <v>0</v>
      </c>
      <c r="AY40" s="527"/>
      <c r="AZ40" s="527">
        <f t="shared" si="4"/>
        <v>0</v>
      </c>
      <c r="BA40" s="384"/>
      <c r="BB40" s="771"/>
      <c r="BC40" s="771"/>
      <c r="BD40" s="771"/>
      <c r="BE40" s="761"/>
      <c r="BF40" s="737"/>
      <c r="BG40" s="384"/>
      <c r="BH40" s="774"/>
      <c r="BI40" s="774"/>
      <c r="BJ40" s="774"/>
      <c r="BK40" s="775"/>
      <c r="BL40" s="775"/>
      <c r="BM40" s="385"/>
      <c r="BN40" s="774"/>
      <c r="BO40" s="774"/>
      <c r="BP40" s="774"/>
      <c r="BQ40" s="775"/>
      <c r="BR40" s="775"/>
      <c r="BS40" s="385"/>
      <c r="BT40" s="774"/>
      <c r="BU40" s="774"/>
      <c r="BV40" s="774"/>
      <c r="BW40" s="775"/>
      <c r="BX40" s="775"/>
    </row>
    <row r="41" spans="3:76" ht="15" customHeight="1" outlineLevel="1">
      <c r="C41" s="387" t="s">
        <v>153</v>
      </c>
      <c r="D41" s="388">
        <v>31</v>
      </c>
      <c r="E41" s="384"/>
      <c r="F41" s="705"/>
      <c r="G41" s="705"/>
      <c r="H41" s="705"/>
      <c r="I41" s="808"/>
      <c r="J41" s="808"/>
      <c r="L41" s="838"/>
      <c r="M41" s="838"/>
      <c r="N41" s="838"/>
      <c r="O41" s="756"/>
      <c r="P41" s="756"/>
      <c r="Q41" s="384"/>
      <c r="R41" s="687"/>
      <c r="S41" s="687"/>
      <c r="T41" s="687"/>
      <c r="U41" s="737"/>
      <c r="V41" s="737"/>
      <c r="W41" s="384"/>
      <c r="X41" s="687"/>
      <c r="Y41" s="687"/>
      <c r="Z41" s="687"/>
      <c r="AA41" s="737"/>
      <c r="AB41" s="737"/>
      <c r="AC41" s="384"/>
      <c r="AD41" s="832"/>
      <c r="AE41" s="832"/>
      <c r="AF41" s="832"/>
      <c r="AG41" s="835"/>
      <c r="AH41" s="835"/>
      <c r="AI41" s="513"/>
      <c r="AJ41" s="832"/>
      <c r="AK41" s="832"/>
      <c r="AL41" s="832"/>
      <c r="AM41" s="835"/>
      <c r="AN41" s="835"/>
      <c r="AO41" s="384"/>
      <c r="AP41" s="687"/>
      <c r="AQ41" s="687"/>
      <c r="AR41" s="687"/>
      <c r="AS41" s="737"/>
      <c r="AT41" s="737"/>
      <c r="AU41" s="384"/>
      <c r="AV41" s="526"/>
      <c r="AW41" s="526"/>
      <c r="AX41" s="526">
        <f t="shared" si="3"/>
        <v>0</v>
      </c>
      <c r="AY41" s="527"/>
      <c r="AZ41" s="527">
        <f t="shared" si="4"/>
        <v>0</v>
      </c>
      <c r="BA41" s="384"/>
      <c r="BB41" s="771"/>
      <c r="BC41" s="771"/>
      <c r="BD41" s="771"/>
      <c r="BE41" s="761"/>
      <c r="BF41" s="737"/>
      <c r="BG41" s="384"/>
      <c r="BH41" s="774"/>
      <c r="BI41" s="774"/>
      <c r="BJ41" s="774"/>
      <c r="BK41" s="775"/>
      <c r="BL41" s="775"/>
      <c r="BM41" s="385"/>
      <c r="BN41" s="774"/>
      <c r="BO41" s="774"/>
      <c r="BP41" s="774"/>
      <c r="BQ41" s="775"/>
      <c r="BR41" s="775"/>
      <c r="BS41" s="385"/>
      <c r="BT41" s="774"/>
      <c r="BU41" s="774"/>
      <c r="BV41" s="774"/>
      <c r="BW41" s="775"/>
      <c r="BX41" s="775"/>
    </row>
    <row r="42" spans="3:76" ht="15" customHeight="1" outlineLevel="1">
      <c r="C42" s="387" t="s">
        <v>154</v>
      </c>
      <c r="D42" s="388">
        <v>31</v>
      </c>
      <c r="E42" s="384"/>
      <c r="F42" s="720"/>
      <c r="G42" s="720"/>
      <c r="H42" s="720"/>
      <c r="I42" s="743"/>
      <c r="J42" s="743"/>
      <c r="L42" s="839"/>
      <c r="M42" s="839"/>
      <c r="N42" s="839"/>
      <c r="O42" s="757"/>
      <c r="P42" s="757"/>
      <c r="Q42" s="384"/>
      <c r="R42" s="727"/>
      <c r="S42" s="727"/>
      <c r="T42" s="727"/>
      <c r="U42" s="741"/>
      <c r="V42" s="741"/>
      <c r="W42" s="384"/>
      <c r="X42" s="727"/>
      <c r="Y42" s="727"/>
      <c r="Z42" s="727"/>
      <c r="AA42" s="741"/>
      <c r="AB42" s="741"/>
      <c r="AC42" s="384"/>
      <c r="AD42" s="833"/>
      <c r="AE42" s="833"/>
      <c r="AF42" s="833"/>
      <c r="AG42" s="836"/>
      <c r="AH42" s="836"/>
      <c r="AI42" s="513"/>
      <c r="AJ42" s="833"/>
      <c r="AK42" s="833"/>
      <c r="AL42" s="833"/>
      <c r="AM42" s="836"/>
      <c r="AN42" s="836"/>
      <c r="AO42" s="384"/>
      <c r="AP42" s="727"/>
      <c r="AQ42" s="727"/>
      <c r="AR42" s="727"/>
      <c r="AS42" s="741"/>
      <c r="AT42" s="741"/>
      <c r="AU42" s="384"/>
      <c r="AV42" s="526"/>
      <c r="AW42" s="526"/>
      <c r="AX42" s="526">
        <f t="shared" si="3"/>
        <v>0</v>
      </c>
      <c r="AY42" s="527"/>
      <c r="AZ42" s="527">
        <f t="shared" si="4"/>
        <v>0</v>
      </c>
      <c r="BA42" s="384"/>
      <c r="BB42" s="771"/>
      <c r="BC42" s="771"/>
      <c r="BD42" s="771"/>
      <c r="BE42" s="761"/>
      <c r="BF42" s="741"/>
      <c r="BG42" s="384"/>
      <c r="BH42" s="774"/>
      <c r="BI42" s="774"/>
      <c r="BJ42" s="774"/>
      <c r="BK42" s="775"/>
      <c r="BL42" s="775"/>
      <c r="BM42" s="385"/>
      <c r="BN42" s="774"/>
      <c r="BO42" s="774"/>
      <c r="BP42" s="774"/>
      <c r="BQ42" s="775"/>
      <c r="BR42" s="775"/>
      <c r="BS42" s="385"/>
      <c r="BT42" s="774"/>
      <c r="BU42" s="774"/>
      <c r="BV42" s="774"/>
      <c r="BW42" s="775"/>
      <c r="BX42" s="775"/>
    </row>
    <row r="43" spans="3:76" ht="15" customHeight="1" outlineLevel="1">
      <c r="C43" s="387" t="s">
        <v>155</v>
      </c>
      <c r="D43" s="388">
        <v>30</v>
      </c>
      <c r="E43" s="384"/>
      <c r="F43" s="774">
        <v>54</v>
      </c>
      <c r="G43" s="774">
        <v>0</v>
      </c>
      <c r="H43" s="774">
        <f>F43+G43</f>
        <v>54</v>
      </c>
      <c r="I43" s="775">
        <f>272.6+249.7+1.53</f>
        <v>523.8299999999999</v>
      </c>
      <c r="J43" s="775">
        <f>I43*1.21</f>
        <v>633.8342999999999</v>
      </c>
      <c r="L43" s="829">
        <f>47736-L49</f>
        <v>20952</v>
      </c>
      <c r="M43" s="829">
        <v>0</v>
      </c>
      <c r="N43" s="829">
        <f>L43+M43</f>
        <v>20952</v>
      </c>
      <c r="O43" s="830">
        <f>80445.65/47736*L43</f>
        <v>35308.72420814479</v>
      </c>
      <c r="P43" s="830">
        <f>O43*1.21</f>
        <v>42723.556291855195</v>
      </c>
      <c r="Q43" s="384"/>
      <c r="R43" s="771">
        <v>11250</v>
      </c>
      <c r="S43" s="771">
        <v>0</v>
      </c>
      <c r="T43" s="771">
        <f>R43+S43</f>
        <v>11250</v>
      </c>
      <c r="U43" s="761">
        <f>9400+11808.75+318.38</f>
        <v>21527.13</v>
      </c>
      <c r="V43" s="761">
        <f>U43*1.21</f>
        <v>26047.8273</v>
      </c>
      <c r="W43" s="384"/>
      <c r="X43" s="771">
        <v>876</v>
      </c>
      <c r="Y43" s="771">
        <v>0</v>
      </c>
      <c r="Z43" s="771">
        <f>X43+Y43</f>
        <v>876</v>
      </c>
      <c r="AA43" s="761">
        <f>934.82+1193.34+24.79</f>
        <v>2152.95</v>
      </c>
      <c r="AB43" s="761">
        <f>AA43*1.21</f>
        <v>2605.0694999999996</v>
      </c>
      <c r="AC43" s="384"/>
      <c r="AD43" s="821">
        <v>2517</v>
      </c>
      <c r="AE43" s="821">
        <v>0</v>
      </c>
      <c r="AF43" s="821">
        <f>AD43+AE43</f>
        <v>2517</v>
      </c>
      <c r="AG43" s="822">
        <f>2671.56+7358.58+71.23</f>
        <v>10101.369999999999</v>
      </c>
      <c r="AH43" s="822">
        <f>AG43*1.21</f>
        <v>12222.657699999998</v>
      </c>
      <c r="AI43" s="513"/>
      <c r="AJ43" s="821">
        <v>16</v>
      </c>
      <c r="AK43" s="821">
        <v>0</v>
      </c>
      <c r="AL43" s="821">
        <f>AJ43+AK43</f>
        <v>16</v>
      </c>
      <c r="AM43" s="822">
        <f>235.58+365.27+0.45</f>
        <v>601.3000000000001</v>
      </c>
      <c r="AN43" s="822">
        <f>AM43*1.21</f>
        <v>727.5730000000001</v>
      </c>
      <c r="AO43" s="384"/>
      <c r="AP43" s="771">
        <v>15899</v>
      </c>
      <c r="AQ43" s="771">
        <v>0</v>
      </c>
      <c r="AR43" s="771">
        <f>AP43+AQ43</f>
        <v>15899</v>
      </c>
      <c r="AS43" s="761">
        <f>13193.58+17634.25+449.94</f>
        <v>31277.77</v>
      </c>
      <c r="AT43" s="761">
        <f>AS43*1.21</f>
        <v>37846.1017</v>
      </c>
      <c r="AU43" s="384"/>
      <c r="AV43" s="526"/>
      <c r="AW43" s="526"/>
      <c r="AX43" s="526">
        <f t="shared" si="3"/>
        <v>0</v>
      </c>
      <c r="AY43" s="527"/>
      <c r="AZ43" s="527">
        <f t="shared" si="4"/>
        <v>0</v>
      </c>
      <c r="BA43" s="384"/>
      <c r="BB43" s="771">
        <v>7839.7</v>
      </c>
      <c r="BC43" s="771">
        <v>0</v>
      </c>
      <c r="BD43" s="771">
        <f>BB43+BC43</f>
        <v>7839.7</v>
      </c>
      <c r="BE43" s="761">
        <f>6617.2+8438.18+221.86</f>
        <v>15277.240000000002</v>
      </c>
      <c r="BF43" s="761">
        <f>BE43*1.21</f>
        <v>18485.4604</v>
      </c>
      <c r="BG43" s="384"/>
      <c r="BH43" s="774">
        <v>16</v>
      </c>
      <c r="BI43" s="774">
        <v>0</v>
      </c>
      <c r="BJ43" s="774">
        <f>BH43+BI43</f>
        <v>16</v>
      </c>
      <c r="BK43" s="775">
        <f>235.58+365.27+0.45</f>
        <v>601.3000000000001</v>
      </c>
      <c r="BL43" s="775">
        <f>BK43*1.21</f>
        <v>727.5730000000001</v>
      </c>
      <c r="BM43" s="385"/>
      <c r="BN43" s="774">
        <v>54</v>
      </c>
      <c r="BO43" s="774">
        <v>0</v>
      </c>
      <c r="BP43" s="774">
        <f>BN43+BO43</f>
        <v>54</v>
      </c>
      <c r="BQ43" s="775">
        <f>272.6+249.7+1.53</f>
        <v>523.8299999999999</v>
      </c>
      <c r="BR43" s="775">
        <f>BQ43*1.21</f>
        <v>633.8342999999999</v>
      </c>
      <c r="BS43" s="385"/>
      <c r="BT43" s="774">
        <v>2517</v>
      </c>
      <c r="BU43" s="774">
        <v>0</v>
      </c>
      <c r="BV43" s="774">
        <f>BT43+BU43</f>
        <v>2517</v>
      </c>
      <c r="BW43" s="775">
        <f>2671.56+7358.58+71.23</f>
        <v>10101.369999999999</v>
      </c>
      <c r="BX43" s="775">
        <f>BW43*1.21</f>
        <v>12222.657699999998</v>
      </c>
    </row>
    <row r="44" spans="3:76" ht="15" customHeight="1" outlineLevel="1">
      <c r="C44" s="387" t="s">
        <v>156</v>
      </c>
      <c r="D44" s="388">
        <v>31</v>
      </c>
      <c r="E44" s="384"/>
      <c r="F44" s="774"/>
      <c r="G44" s="774"/>
      <c r="H44" s="774"/>
      <c r="I44" s="775"/>
      <c r="J44" s="775"/>
      <c r="L44" s="829"/>
      <c r="M44" s="829"/>
      <c r="N44" s="829"/>
      <c r="O44" s="830"/>
      <c r="P44" s="830"/>
      <c r="Q44" s="384"/>
      <c r="R44" s="771"/>
      <c r="S44" s="771"/>
      <c r="T44" s="771"/>
      <c r="U44" s="761"/>
      <c r="V44" s="761"/>
      <c r="W44" s="384"/>
      <c r="X44" s="771"/>
      <c r="Y44" s="771"/>
      <c r="Z44" s="771"/>
      <c r="AA44" s="761"/>
      <c r="AB44" s="761"/>
      <c r="AC44" s="384"/>
      <c r="AD44" s="821"/>
      <c r="AE44" s="821"/>
      <c r="AF44" s="821"/>
      <c r="AG44" s="822"/>
      <c r="AH44" s="822"/>
      <c r="AI44" s="513"/>
      <c r="AJ44" s="821"/>
      <c r="AK44" s="821"/>
      <c r="AL44" s="821"/>
      <c r="AM44" s="822"/>
      <c r="AN44" s="822"/>
      <c r="AO44" s="384"/>
      <c r="AP44" s="771"/>
      <c r="AQ44" s="771"/>
      <c r="AR44" s="771"/>
      <c r="AS44" s="761"/>
      <c r="AT44" s="761"/>
      <c r="AU44" s="384"/>
      <c r="AV44" s="526"/>
      <c r="AW44" s="526"/>
      <c r="AX44" s="526">
        <f t="shared" si="3"/>
        <v>0</v>
      </c>
      <c r="AY44" s="527"/>
      <c r="AZ44" s="527">
        <f t="shared" si="4"/>
        <v>0</v>
      </c>
      <c r="BA44" s="384"/>
      <c r="BB44" s="771"/>
      <c r="BC44" s="771"/>
      <c r="BD44" s="771"/>
      <c r="BE44" s="761"/>
      <c r="BF44" s="761"/>
      <c r="BG44" s="384"/>
      <c r="BH44" s="774"/>
      <c r="BI44" s="774"/>
      <c r="BJ44" s="774"/>
      <c r="BK44" s="775"/>
      <c r="BL44" s="775"/>
      <c r="BM44" s="385"/>
      <c r="BN44" s="774"/>
      <c r="BO44" s="774"/>
      <c r="BP44" s="774"/>
      <c r="BQ44" s="775"/>
      <c r="BR44" s="775"/>
      <c r="BS44" s="385"/>
      <c r="BT44" s="774"/>
      <c r="BU44" s="774"/>
      <c r="BV44" s="774"/>
      <c r="BW44" s="775"/>
      <c r="BX44" s="775"/>
    </row>
    <row r="45" spans="3:76" ht="15" customHeight="1" outlineLevel="1">
      <c r="C45" s="387" t="s">
        <v>157</v>
      </c>
      <c r="D45" s="388">
        <v>30</v>
      </c>
      <c r="E45" s="384"/>
      <c r="F45" s="774"/>
      <c r="G45" s="774"/>
      <c r="H45" s="774"/>
      <c r="I45" s="775"/>
      <c r="J45" s="775"/>
      <c r="L45" s="829"/>
      <c r="M45" s="829"/>
      <c r="N45" s="829"/>
      <c r="O45" s="830"/>
      <c r="P45" s="830"/>
      <c r="Q45" s="384"/>
      <c r="R45" s="771"/>
      <c r="S45" s="771"/>
      <c r="T45" s="771"/>
      <c r="U45" s="761"/>
      <c r="V45" s="761"/>
      <c r="W45" s="384"/>
      <c r="X45" s="771"/>
      <c r="Y45" s="771"/>
      <c r="Z45" s="771"/>
      <c r="AA45" s="761"/>
      <c r="AB45" s="761"/>
      <c r="AC45" s="384"/>
      <c r="AD45" s="821"/>
      <c r="AE45" s="821"/>
      <c r="AF45" s="821"/>
      <c r="AG45" s="822"/>
      <c r="AH45" s="822"/>
      <c r="AI45" s="513"/>
      <c r="AJ45" s="821"/>
      <c r="AK45" s="821"/>
      <c r="AL45" s="821"/>
      <c r="AM45" s="822"/>
      <c r="AN45" s="822"/>
      <c r="AO45" s="384"/>
      <c r="AP45" s="771"/>
      <c r="AQ45" s="771"/>
      <c r="AR45" s="771"/>
      <c r="AS45" s="761"/>
      <c r="AT45" s="761"/>
      <c r="AU45" s="384"/>
      <c r="AV45" s="526"/>
      <c r="AW45" s="526"/>
      <c r="AX45" s="526">
        <f t="shared" si="3"/>
        <v>0</v>
      </c>
      <c r="AY45" s="527"/>
      <c r="AZ45" s="527">
        <f t="shared" si="4"/>
        <v>0</v>
      </c>
      <c r="BA45" s="384"/>
      <c r="BB45" s="771"/>
      <c r="BC45" s="771"/>
      <c r="BD45" s="771"/>
      <c r="BE45" s="761"/>
      <c r="BF45" s="761"/>
      <c r="BG45" s="384"/>
      <c r="BH45" s="774"/>
      <c r="BI45" s="774"/>
      <c r="BJ45" s="774"/>
      <c r="BK45" s="775"/>
      <c r="BL45" s="775"/>
      <c r="BM45" s="385"/>
      <c r="BN45" s="774"/>
      <c r="BO45" s="774"/>
      <c r="BP45" s="774"/>
      <c r="BQ45" s="775"/>
      <c r="BR45" s="775"/>
      <c r="BS45" s="385"/>
      <c r="BT45" s="774"/>
      <c r="BU45" s="774"/>
      <c r="BV45" s="774"/>
      <c r="BW45" s="775"/>
      <c r="BX45" s="775"/>
    </row>
    <row r="46" spans="3:76" ht="15" customHeight="1" outlineLevel="1">
      <c r="C46" s="387" t="s">
        <v>158</v>
      </c>
      <c r="D46" s="388">
        <v>31</v>
      </c>
      <c r="E46" s="384"/>
      <c r="F46" s="774"/>
      <c r="G46" s="774"/>
      <c r="H46" s="774"/>
      <c r="I46" s="775"/>
      <c r="J46" s="775"/>
      <c r="L46" s="829"/>
      <c r="M46" s="829"/>
      <c r="N46" s="829"/>
      <c r="O46" s="830"/>
      <c r="P46" s="830"/>
      <c r="Q46" s="384"/>
      <c r="R46" s="771"/>
      <c r="S46" s="771"/>
      <c r="T46" s="771"/>
      <c r="U46" s="761"/>
      <c r="V46" s="761"/>
      <c r="W46" s="384"/>
      <c r="X46" s="771"/>
      <c r="Y46" s="771"/>
      <c r="Z46" s="771"/>
      <c r="AA46" s="761"/>
      <c r="AB46" s="761"/>
      <c r="AC46" s="384"/>
      <c r="AD46" s="821"/>
      <c r="AE46" s="821"/>
      <c r="AF46" s="821"/>
      <c r="AG46" s="822"/>
      <c r="AH46" s="822"/>
      <c r="AI46" s="513"/>
      <c r="AJ46" s="821"/>
      <c r="AK46" s="821"/>
      <c r="AL46" s="821"/>
      <c r="AM46" s="822"/>
      <c r="AN46" s="822"/>
      <c r="AO46" s="384"/>
      <c r="AP46" s="771"/>
      <c r="AQ46" s="771"/>
      <c r="AR46" s="771"/>
      <c r="AS46" s="761"/>
      <c r="AT46" s="761"/>
      <c r="AU46" s="384"/>
      <c r="AV46" s="526"/>
      <c r="AW46" s="526"/>
      <c r="AX46" s="526">
        <f t="shared" si="3"/>
        <v>0</v>
      </c>
      <c r="AY46" s="527"/>
      <c r="AZ46" s="527">
        <f t="shared" si="4"/>
        <v>0</v>
      </c>
      <c r="BA46" s="384"/>
      <c r="BB46" s="771"/>
      <c r="BC46" s="771"/>
      <c r="BD46" s="771"/>
      <c r="BE46" s="761"/>
      <c r="BF46" s="761"/>
      <c r="BG46" s="533"/>
      <c r="BH46" s="774"/>
      <c r="BI46" s="774"/>
      <c r="BJ46" s="774"/>
      <c r="BK46" s="775"/>
      <c r="BL46" s="775"/>
      <c r="BM46" s="385"/>
      <c r="BN46" s="774"/>
      <c r="BO46" s="774"/>
      <c r="BP46" s="774"/>
      <c r="BQ46" s="775"/>
      <c r="BR46" s="775"/>
      <c r="BS46" s="385"/>
      <c r="BT46" s="774"/>
      <c r="BU46" s="774"/>
      <c r="BV46" s="774"/>
      <c r="BW46" s="775"/>
      <c r="BX46" s="775"/>
    </row>
    <row r="47" spans="6:76" ht="15">
      <c r="F47" s="425">
        <f>SUM(F35:F46)</f>
        <v>102</v>
      </c>
      <c r="G47" s="528"/>
      <c r="H47" s="534"/>
      <c r="I47" s="480"/>
      <c r="J47" s="425">
        <f>SUM(J35:J46)</f>
        <v>1251.5393</v>
      </c>
      <c r="L47" s="419">
        <f>SUM(L35:L46)</f>
        <v>20952</v>
      </c>
      <c r="M47" s="419">
        <f>SUM(M35:M46)</f>
        <v>0</v>
      </c>
      <c r="O47" s="419">
        <f>SUM(O35:O46)</f>
        <v>35308.72420814479</v>
      </c>
      <c r="P47" s="419">
        <f>SUM(P35:P46)</f>
        <v>42723.556291855195</v>
      </c>
      <c r="R47" s="419">
        <f>SUM(R35:R46)</f>
        <v>14284</v>
      </c>
      <c r="S47" s="419">
        <f>SUM(S35:S46)</f>
        <v>0</v>
      </c>
      <c r="U47" s="419">
        <f>SUM(U35:U46)</f>
        <v>28259.96</v>
      </c>
      <c r="V47" s="419">
        <f>SUM(V35:V46)</f>
        <v>34194.5516</v>
      </c>
      <c r="X47" s="419">
        <f>SUM(X35:X46)</f>
        <v>1385</v>
      </c>
      <c r="Y47" s="419">
        <f>SUM(Y35:Y46)</f>
        <v>0</v>
      </c>
      <c r="AA47" s="419">
        <f>SUM(AA35:AA46)</f>
        <v>3607.39</v>
      </c>
      <c r="AB47" s="419">
        <f>SUM(AB35:AB46)</f>
        <v>4364.9419</v>
      </c>
      <c r="AD47" s="516">
        <f>SUM(AD35:AD46)</f>
        <v>4866</v>
      </c>
      <c r="AE47" s="530"/>
      <c r="AF47" s="535"/>
      <c r="AG47" s="536"/>
      <c r="AH47" s="516">
        <f>SUM(AH35:AH46)</f>
        <v>23722.6671</v>
      </c>
      <c r="AI47" s="503"/>
      <c r="AJ47" s="516">
        <f>SUM(AJ35:AJ46)</f>
        <v>26</v>
      </c>
      <c r="AK47" s="530"/>
      <c r="AL47" s="535"/>
      <c r="AM47" s="536"/>
      <c r="AN47" s="516">
        <f>SUM(AN35:AN46)</f>
        <v>1455.4243000000001</v>
      </c>
      <c r="AP47" s="419">
        <f>SUM(AP35:AP46)</f>
        <v>30823</v>
      </c>
      <c r="AQ47" s="453"/>
      <c r="AR47" s="423"/>
      <c r="AT47" s="419">
        <f>SUM(AT35:AT46)</f>
        <v>73760.632</v>
      </c>
      <c r="AV47" s="419">
        <f>SUM(AV35:AV46)</f>
        <v>0</v>
      </c>
      <c r="AW47" s="419">
        <f>SUM(AW35:AW46)</f>
        <v>0</v>
      </c>
      <c r="AY47" s="419">
        <f>SUM(AY35:AY46)</f>
        <v>0</v>
      </c>
      <c r="AZ47" s="419">
        <f>SUM(AZ35:AZ46)</f>
        <v>0</v>
      </c>
      <c r="BB47" s="419">
        <f>SUM(BB35:BB46)</f>
        <v>20536.7</v>
      </c>
      <c r="BC47" s="419">
        <f>SUM(BC35:BC46)</f>
        <v>0</v>
      </c>
      <c r="BE47" s="419">
        <f>SUM(BE35:BE46)</f>
        <v>40211.92</v>
      </c>
      <c r="BF47" s="419">
        <f>SUM(BF35:BF46)</f>
        <v>48656.423200000005</v>
      </c>
      <c r="BH47" s="425">
        <f>SUM(BH35:BH46)</f>
        <v>50</v>
      </c>
      <c r="BI47" s="425">
        <f>SUM(BI35:BI46)</f>
        <v>0</v>
      </c>
      <c r="BJ47" s="470"/>
      <c r="BK47" s="425">
        <f>SUM(BK35:BK46)</f>
        <v>1844.5500000000002</v>
      </c>
      <c r="BL47" s="425">
        <f>SUM(BL35:BL46)</f>
        <v>2231.9055</v>
      </c>
      <c r="BM47" s="385"/>
      <c r="BN47" s="425">
        <f>SUM(BN35:BN46)</f>
        <v>102</v>
      </c>
      <c r="BO47" s="425">
        <f>SUM(BO35:BO46)</f>
        <v>0</v>
      </c>
      <c r="BP47" s="470"/>
      <c r="BQ47" s="425">
        <f>SUM(BQ35:BQ46)</f>
        <v>1034.33</v>
      </c>
      <c r="BR47" s="425">
        <f>SUM(BR35:BR46)</f>
        <v>1251.5393</v>
      </c>
      <c r="BS47" s="385"/>
      <c r="BT47" s="425">
        <f>SUM(BT35:BT46)</f>
        <v>4866</v>
      </c>
      <c r="BU47" s="425">
        <f>SUM(BU35:BU46)</f>
        <v>0</v>
      </c>
      <c r="BV47" s="470"/>
      <c r="BW47" s="425">
        <f>SUM(BW35:BW46)</f>
        <v>19605.51</v>
      </c>
      <c r="BX47" s="425">
        <f>SUM(BX35:BX46)</f>
        <v>23722.6671</v>
      </c>
    </row>
    <row r="48" spans="2:76" ht="15">
      <c r="B48" s="382"/>
      <c r="E48" s="421"/>
      <c r="F48" s="537"/>
      <c r="G48" s="537"/>
      <c r="H48" s="537"/>
      <c r="I48" s="480"/>
      <c r="J48" s="480"/>
      <c r="L48" s="472"/>
      <c r="M48" s="472"/>
      <c r="N48" s="472"/>
      <c r="Q48" s="421"/>
      <c r="R48" s="472"/>
      <c r="S48" s="472"/>
      <c r="T48" s="472"/>
      <c r="W48" s="421"/>
      <c r="X48" s="472"/>
      <c r="Y48" s="472"/>
      <c r="Z48" s="472"/>
      <c r="AC48" s="421"/>
      <c r="AD48" s="538"/>
      <c r="AE48" s="538"/>
      <c r="AF48" s="538"/>
      <c r="AG48" s="536"/>
      <c r="AH48" s="536"/>
      <c r="AI48" s="539"/>
      <c r="AJ48" s="538"/>
      <c r="AK48" s="538"/>
      <c r="AL48" s="538"/>
      <c r="AM48" s="536"/>
      <c r="AN48" s="536"/>
      <c r="AO48" s="421"/>
      <c r="AP48" s="472"/>
      <c r="AQ48" s="472"/>
      <c r="AR48" s="472"/>
      <c r="AU48" s="421"/>
      <c r="AV48" s="472"/>
      <c r="AW48" s="472"/>
      <c r="AX48" s="472"/>
      <c r="BA48" s="421"/>
      <c r="BB48" s="472"/>
      <c r="BC48" s="472"/>
      <c r="BD48" s="472"/>
      <c r="BG48" s="421"/>
      <c r="BH48" s="537"/>
      <c r="BI48" s="537"/>
      <c r="BJ48" s="537"/>
      <c r="BK48" s="480"/>
      <c r="BL48" s="480"/>
      <c r="BM48" s="385"/>
      <c r="BN48" s="537"/>
      <c r="BO48" s="537"/>
      <c r="BP48" s="537"/>
      <c r="BQ48" s="480"/>
      <c r="BR48" s="480"/>
      <c r="BS48" s="385"/>
      <c r="BT48" s="537"/>
      <c r="BU48" s="537"/>
      <c r="BV48" s="537"/>
      <c r="BW48" s="480"/>
      <c r="BX48" s="480"/>
    </row>
    <row r="49" spans="2:76" ht="15.75" customHeight="1" outlineLevel="1">
      <c r="B49" s="386">
        <f>B35+1</f>
        <v>2019</v>
      </c>
      <c r="C49" s="387" t="s">
        <v>147</v>
      </c>
      <c r="D49" s="388">
        <v>31</v>
      </c>
      <c r="E49" s="389"/>
      <c r="F49" s="774">
        <v>58</v>
      </c>
      <c r="G49" s="774">
        <v>0</v>
      </c>
      <c r="H49" s="774">
        <f>F49+G49</f>
        <v>58</v>
      </c>
      <c r="I49" s="775">
        <f>281.83+291.49+1.64</f>
        <v>574.9599999999999</v>
      </c>
      <c r="J49" s="775">
        <f>I49*1.21</f>
        <v>695.7015999999999</v>
      </c>
      <c r="L49" s="826">
        <f>365332-338548</f>
        <v>26784</v>
      </c>
      <c r="M49" s="779">
        <v>0</v>
      </c>
      <c r="N49" s="788">
        <f aca="true" t="shared" si="5" ref="N49">L49+M49</f>
        <v>26784</v>
      </c>
      <c r="O49" s="791">
        <f>80445.65/47736*L49</f>
        <v>45136.925791855196</v>
      </c>
      <c r="P49" s="791">
        <f aca="true" t="shared" si="6" ref="P49">O49*1.21</f>
        <v>54615.68020814478</v>
      </c>
      <c r="Q49" s="389"/>
      <c r="R49" s="771">
        <v>12170</v>
      </c>
      <c r="S49" s="771">
        <v>0</v>
      </c>
      <c r="T49" s="771">
        <f>R49+S49</f>
        <v>12170</v>
      </c>
      <c r="U49" s="823">
        <f>44176.88-U43</f>
        <v>22649.749999999996</v>
      </c>
      <c r="V49" s="823">
        <f>U49*1.21</f>
        <v>27406.197499999995</v>
      </c>
      <c r="W49" s="389"/>
      <c r="X49" s="738">
        <v>840</v>
      </c>
      <c r="Y49" s="686">
        <v>0</v>
      </c>
      <c r="Z49" s="686">
        <f>X49+Y49</f>
        <v>840</v>
      </c>
      <c r="AA49" s="823">
        <f>921.39+1209.99+23.77</f>
        <v>2155.15</v>
      </c>
      <c r="AB49" s="823">
        <f>AA49*1.21</f>
        <v>2607.7315</v>
      </c>
      <c r="AC49" s="389"/>
      <c r="AD49" s="821">
        <v>2660</v>
      </c>
      <c r="AE49" s="821">
        <v>0</v>
      </c>
      <c r="AF49" s="821">
        <f>AD49+AE49</f>
        <v>2660</v>
      </c>
      <c r="AG49" s="822">
        <f>2816.18+8007.19+75.28</f>
        <v>10898.65</v>
      </c>
      <c r="AH49" s="822">
        <f>AG49*1.21</f>
        <v>13187.366499999998</v>
      </c>
      <c r="AI49" s="510"/>
      <c r="AJ49" s="821">
        <v>18</v>
      </c>
      <c r="AK49" s="821">
        <v>0</v>
      </c>
      <c r="AL49" s="821">
        <f>AJ49+AK49</f>
        <v>18</v>
      </c>
      <c r="AM49" s="822">
        <f>242.87+398.57+0.51</f>
        <v>641.95</v>
      </c>
      <c r="AN49" s="822">
        <f>AM49*1.21</f>
        <v>776.7595</v>
      </c>
      <c r="AO49" s="389"/>
      <c r="AP49" s="738">
        <v>16499</v>
      </c>
      <c r="AQ49" s="686">
        <v>0</v>
      </c>
      <c r="AR49" s="686">
        <f>AP49+AQ49</f>
        <v>16499</v>
      </c>
      <c r="AS49" s="761">
        <f>13688.52+18379.11+466.92</f>
        <v>32534.55</v>
      </c>
      <c r="AT49" s="761">
        <f>AS49*1.21</f>
        <v>39366.805499999995</v>
      </c>
      <c r="AU49" s="389"/>
      <c r="AV49" s="525"/>
      <c r="AW49" s="526"/>
      <c r="AX49" s="526">
        <f aca="true" t="shared" si="7" ref="AX49:AX60">AV49+AW49</f>
        <v>0</v>
      </c>
      <c r="AY49" s="527"/>
      <c r="AZ49" s="527">
        <f aca="true" t="shared" si="8" ref="AZ49">AY49*1.21</f>
        <v>0</v>
      </c>
      <c r="BA49" s="389"/>
      <c r="BB49" s="391">
        <v>2149.8</v>
      </c>
      <c r="BC49" s="392">
        <v>0</v>
      </c>
      <c r="BD49" s="392">
        <f>BB49+BC49</f>
        <v>2149.8</v>
      </c>
      <c r="BE49" s="540">
        <f>1807.48+2286.64+60.84</f>
        <v>4154.96</v>
      </c>
      <c r="BF49" s="540">
        <f>BE49*1.21</f>
        <v>5027.5016</v>
      </c>
      <c r="BG49" s="389"/>
      <c r="BH49" s="774">
        <v>18</v>
      </c>
      <c r="BI49" s="774">
        <v>0</v>
      </c>
      <c r="BJ49" s="774">
        <f>BH49+BI49</f>
        <v>18</v>
      </c>
      <c r="BK49" s="775">
        <f>242.87+398.57+0.51</f>
        <v>641.95</v>
      </c>
      <c r="BL49" s="775">
        <f>BK49*1.21</f>
        <v>776.7595</v>
      </c>
      <c r="BM49" s="385"/>
      <c r="BN49" s="774">
        <v>58</v>
      </c>
      <c r="BO49" s="774">
        <v>0</v>
      </c>
      <c r="BP49" s="774">
        <f>BN49+BO49</f>
        <v>58</v>
      </c>
      <c r="BQ49" s="775">
        <f>1098.79-BQ43</f>
        <v>574.96</v>
      </c>
      <c r="BR49" s="775">
        <f>BQ49*1.21</f>
        <v>695.7016</v>
      </c>
      <c r="BS49" s="385"/>
      <c r="BT49" s="774">
        <v>2660</v>
      </c>
      <c r="BU49" s="774">
        <v>0</v>
      </c>
      <c r="BV49" s="774">
        <f>BT49+BU49</f>
        <v>2660</v>
      </c>
      <c r="BW49" s="775">
        <f>21000.02-BW43</f>
        <v>10898.650000000001</v>
      </c>
      <c r="BX49" s="775">
        <f>BW49*1.21</f>
        <v>13187.366500000002</v>
      </c>
    </row>
    <row r="50" spans="3:76" ht="15" customHeight="1" outlineLevel="1">
      <c r="C50" s="387" t="s">
        <v>148</v>
      </c>
      <c r="D50" s="388">
        <v>28</v>
      </c>
      <c r="E50" s="384"/>
      <c r="F50" s="774"/>
      <c r="G50" s="774"/>
      <c r="H50" s="774"/>
      <c r="I50" s="775"/>
      <c r="J50" s="775"/>
      <c r="L50" s="827"/>
      <c r="M50" s="780"/>
      <c r="N50" s="789"/>
      <c r="O50" s="792"/>
      <c r="P50" s="792"/>
      <c r="Q50" s="384"/>
      <c r="R50" s="771"/>
      <c r="S50" s="771"/>
      <c r="T50" s="771"/>
      <c r="U50" s="824"/>
      <c r="V50" s="824"/>
      <c r="W50" s="384"/>
      <c r="X50" s="739"/>
      <c r="Y50" s="687"/>
      <c r="Z50" s="687"/>
      <c r="AA50" s="824"/>
      <c r="AB50" s="824"/>
      <c r="AC50" s="384"/>
      <c r="AD50" s="821"/>
      <c r="AE50" s="821"/>
      <c r="AF50" s="821"/>
      <c r="AG50" s="822"/>
      <c r="AH50" s="822"/>
      <c r="AI50" s="513"/>
      <c r="AJ50" s="821"/>
      <c r="AK50" s="821"/>
      <c r="AL50" s="821"/>
      <c r="AM50" s="822"/>
      <c r="AN50" s="822"/>
      <c r="AO50" s="384"/>
      <c r="AP50" s="739"/>
      <c r="AQ50" s="687"/>
      <c r="AR50" s="687"/>
      <c r="AS50" s="761"/>
      <c r="AT50" s="761"/>
      <c r="AU50" s="384"/>
      <c r="AV50" s="525"/>
      <c r="AW50" s="526"/>
      <c r="AX50" s="526">
        <f t="shared" si="7"/>
        <v>0</v>
      </c>
      <c r="AY50" s="527"/>
      <c r="AZ50" s="527"/>
      <c r="BA50" s="384"/>
      <c r="BB50" s="767">
        <v>20618.3</v>
      </c>
      <c r="BC50" s="767">
        <v>0</v>
      </c>
      <c r="BD50" s="767">
        <f>BB50+BC50</f>
        <v>20618.3</v>
      </c>
      <c r="BE50" s="818">
        <f>17431.29+22469.01+583.5</f>
        <v>40483.8</v>
      </c>
      <c r="BF50" s="769">
        <f>BE50*1.21</f>
        <v>48985.398</v>
      </c>
      <c r="BG50" s="384"/>
      <c r="BH50" s="774"/>
      <c r="BI50" s="774"/>
      <c r="BJ50" s="774"/>
      <c r="BK50" s="775"/>
      <c r="BL50" s="775"/>
      <c r="BM50" s="385"/>
      <c r="BN50" s="774"/>
      <c r="BO50" s="774"/>
      <c r="BP50" s="774"/>
      <c r="BQ50" s="775"/>
      <c r="BR50" s="775"/>
      <c r="BS50" s="385"/>
      <c r="BT50" s="774"/>
      <c r="BU50" s="774"/>
      <c r="BV50" s="774"/>
      <c r="BW50" s="775"/>
      <c r="BX50" s="775"/>
    </row>
    <row r="51" spans="3:76" ht="15" customHeight="1" outlineLevel="1">
      <c r="C51" s="387" t="s">
        <v>149</v>
      </c>
      <c r="D51" s="388">
        <v>31</v>
      </c>
      <c r="E51" s="384"/>
      <c r="F51" s="774"/>
      <c r="G51" s="774"/>
      <c r="H51" s="774"/>
      <c r="I51" s="775"/>
      <c r="J51" s="775"/>
      <c r="L51" s="827"/>
      <c r="M51" s="780"/>
      <c r="N51" s="789"/>
      <c r="O51" s="792"/>
      <c r="P51" s="792"/>
      <c r="Q51" s="384"/>
      <c r="R51" s="771"/>
      <c r="S51" s="771"/>
      <c r="T51" s="771"/>
      <c r="U51" s="824"/>
      <c r="V51" s="824"/>
      <c r="W51" s="384"/>
      <c r="X51" s="739"/>
      <c r="Y51" s="687"/>
      <c r="Z51" s="687"/>
      <c r="AA51" s="824"/>
      <c r="AB51" s="824"/>
      <c r="AC51" s="384"/>
      <c r="AD51" s="821"/>
      <c r="AE51" s="821"/>
      <c r="AF51" s="821"/>
      <c r="AG51" s="822"/>
      <c r="AH51" s="822"/>
      <c r="AI51" s="513"/>
      <c r="AJ51" s="821"/>
      <c r="AK51" s="821"/>
      <c r="AL51" s="821"/>
      <c r="AM51" s="822"/>
      <c r="AN51" s="822"/>
      <c r="AO51" s="384"/>
      <c r="AP51" s="739"/>
      <c r="AQ51" s="687"/>
      <c r="AR51" s="687"/>
      <c r="AS51" s="761"/>
      <c r="AT51" s="761"/>
      <c r="AU51" s="384"/>
      <c r="AV51" s="525"/>
      <c r="AW51" s="526"/>
      <c r="AX51" s="526">
        <f t="shared" si="7"/>
        <v>0</v>
      </c>
      <c r="AY51" s="527"/>
      <c r="AZ51" s="527"/>
      <c r="BA51" s="384"/>
      <c r="BB51" s="768"/>
      <c r="BC51" s="768"/>
      <c r="BD51" s="768"/>
      <c r="BE51" s="819"/>
      <c r="BF51" s="770"/>
      <c r="BG51" s="384"/>
      <c r="BH51" s="774"/>
      <c r="BI51" s="774"/>
      <c r="BJ51" s="774"/>
      <c r="BK51" s="775"/>
      <c r="BL51" s="775"/>
      <c r="BM51" s="385"/>
      <c r="BN51" s="774"/>
      <c r="BO51" s="774"/>
      <c r="BP51" s="774"/>
      <c r="BQ51" s="775"/>
      <c r="BR51" s="775"/>
      <c r="BS51" s="385"/>
      <c r="BT51" s="774"/>
      <c r="BU51" s="774"/>
      <c r="BV51" s="774"/>
      <c r="BW51" s="775"/>
      <c r="BX51" s="775"/>
    </row>
    <row r="52" spans="3:76" ht="15" customHeight="1" outlineLevel="1">
      <c r="C52" s="387" t="s">
        <v>150</v>
      </c>
      <c r="D52" s="388">
        <v>30</v>
      </c>
      <c r="E52" s="384"/>
      <c r="F52" s="774"/>
      <c r="G52" s="774"/>
      <c r="H52" s="774"/>
      <c r="I52" s="775"/>
      <c r="J52" s="775"/>
      <c r="L52" s="827"/>
      <c r="M52" s="780"/>
      <c r="N52" s="789"/>
      <c r="O52" s="792"/>
      <c r="P52" s="792"/>
      <c r="Q52" s="384"/>
      <c r="R52" s="771"/>
      <c r="S52" s="771"/>
      <c r="T52" s="771"/>
      <c r="U52" s="825"/>
      <c r="V52" s="824"/>
      <c r="W52" s="384"/>
      <c r="X52" s="740"/>
      <c r="Y52" s="727"/>
      <c r="Z52" s="727"/>
      <c r="AA52" s="825"/>
      <c r="AB52" s="824"/>
      <c r="AC52" s="384"/>
      <c r="AD52" s="821"/>
      <c r="AE52" s="821"/>
      <c r="AF52" s="821"/>
      <c r="AG52" s="822"/>
      <c r="AH52" s="822"/>
      <c r="AI52" s="513"/>
      <c r="AJ52" s="821"/>
      <c r="AK52" s="821"/>
      <c r="AL52" s="821"/>
      <c r="AM52" s="822"/>
      <c r="AN52" s="822"/>
      <c r="AO52" s="384"/>
      <c r="AP52" s="740"/>
      <c r="AQ52" s="727"/>
      <c r="AR52" s="727"/>
      <c r="AS52" s="761"/>
      <c r="AT52" s="761"/>
      <c r="AU52" s="384"/>
      <c r="AV52" s="525"/>
      <c r="AW52" s="526"/>
      <c r="AX52" s="526">
        <f t="shared" si="7"/>
        <v>0</v>
      </c>
      <c r="AY52" s="527"/>
      <c r="AZ52" s="527"/>
      <c r="BA52" s="384"/>
      <c r="BB52" s="768"/>
      <c r="BC52" s="768"/>
      <c r="BD52" s="768"/>
      <c r="BE52" s="819"/>
      <c r="BF52" s="770"/>
      <c r="BG52" s="384"/>
      <c r="BH52" s="774"/>
      <c r="BI52" s="774"/>
      <c r="BJ52" s="774"/>
      <c r="BK52" s="775"/>
      <c r="BL52" s="775"/>
      <c r="BM52" s="385"/>
      <c r="BN52" s="774"/>
      <c r="BO52" s="774"/>
      <c r="BP52" s="774"/>
      <c r="BQ52" s="775"/>
      <c r="BR52" s="775"/>
      <c r="BS52" s="385"/>
      <c r="BT52" s="774"/>
      <c r="BU52" s="774"/>
      <c r="BV52" s="774"/>
      <c r="BW52" s="775"/>
      <c r="BX52" s="775"/>
    </row>
    <row r="53" spans="3:76" ht="15" customHeight="1" outlineLevel="1">
      <c r="C53" s="387" t="s">
        <v>151</v>
      </c>
      <c r="D53" s="388">
        <v>31</v>
      </c>
      <c r="E53" s="384"/>
      <c r="F53" s="504"/>
      <c r="G53" s="505"/>
      <c r="H53" s="505"/>
      <c r="I53" s="506"/>
      <c r="J53" s="541"/>
      <c r="L53" s="828"/>
      <c r="M53" s="781"/>
      <c r="N53" s="790"/>
      <c r="O53" s="793"/>
      <c r="P53" s="793"/>
      <c r="Q53" s="384"/>
      <c r="R53" s="814">
        <v>12270</v>
      </c>
      <c r="S53" s="767">
        <v>0</v>
      </c>
      <c r="T53" s="767">
        <f>R53+S53</f>
        <v>12270</v>
      </c>
      <c r="U53" s="818">
        <f>10436.37+13723.89+347.24</f>
        <v>24507.500000000004</v>
      </c>
      <c r="V53" s="770">
        <f>U53*1.21</f>
        <v>29654.075000000004</v>
      </c>
      <c r="W53" s="384"/>
      <c r="X53" s="765">
        <f>23951-23629</f>
        <v>322</v>
      </c>
      <c r="Y53" s="765">
        <v>0</v>
      </c>
      <c r="Z53" s="765">
        <f>X53+Y53</f>
        <v>322</v>
      </c>
      <c r="AA53" s="810">
        <f>1562.37+2068.55+39.48</f>
        <v>3670.4</v>
      </c>
      <c r="AB53" s="810">
        <f>AA53*1.21</f>
        <v>4441.184</v>
      </c>
      <c r="AC53" s="384"/>
      <c r="AD53" s="507"/>
      <c r="AE53" s="508"/>
      <c r="AF53" s="508"/>
      <c r="AG53" s="509"/>
      <c r="AH53" s="542"/>
      <c r="AI53" s="513"/>
      <c r="AJ53" s="507"/>
      <c r="AK53" s="508"/>
      <c r="AL53" s="508"/>
      <c r="AM53" s="509"/>
      <c r="AN53" s="542"/>
      <c r="AO53" s="384"/>
      <c r="AP53" s="765">
        <f>9605-709+594559-591570</f>
        <v>11885</v>
      </c>
      <c r="AQ53" s="765">
        <v>0</v>
      </c>
      <c r="AR53" s="765">
        <f>AP53+AQ53</f>
        <v>11885</v>
      </c>
      <c r="AS53" s="769">
        <f>22365.49+30873.93+760.59</f>
        <v>54000.009999999995</v>
      </c>
      <c r="AT53" s="769">
        <f>AS53*1.21</f>
        <v>65340.01209999999</v>
      </c>
      <c r="AU53" s="384"/>
      <c r="AV53" s="525"/>
      <c r="AW53" s="526"/>
      <c r="AX53" s="526">
        <f t="shared" si="7"/>
        <v>0</v>
      </c>
      <c r="AY53" s="527"/>
      <c r="AZ53" s="527"/>
      <c r="BA53" s="384"/>
      <c r="BB53" s="768"/>
      <c r="BC53" s="768"/>
      <c r="BD53" s="768"/>
      <c r="BE53" s="819"/>
      <c r="BF53" s="770"/>
      <c r="BG53" s="384"/>
      <c r="BH53" s="774">
        <f>2354-2345</f>
        <v>9</v>
      </c>
      <c r="BI53" s="774">
        <v>0</v>
      </c>
      <c r="BJ53" s="774">
        <f aca="true" t="shared" si="9" ref="BJ53">BH53+BI53</f>
        <v>9</v>
      </c>
      <c r="BK53" s="742">
        <f>457.07+735.87+0.65</f>
        <v>1193.5900000000001</v>
      </c>
      <c r="BL53" s="742">
        <f>BK53*1.21</f>
        <v>1444.2439000000002</v>
      </c>
      <c r="BM53" s="385"/>
      <c r="BN53" s="704">
        <v>101</v>
      </c>
      <c r="BO53" s="704">
        <v>0</v>
      </c>
      <c r="BP53" s="704">
        <f aca="true" t="shared" si="10" ref="BP53">BN53+BO53</f>
        <v>101</v>
      </c>
      <c r="BQ53" s="742">
        <f>533.04+526+2.86</f>
        <v>1061.8999999999999</v>
      </c>
      <c r="BR53" s="742">
        <f>BQ53*1.21</f>
        <v>1284.899</v>
      </c>
      <c r="BS53" s="385"/>
      <c r="BT53" s="774">
        <f>8738-6792</f>
        <v>1946</v>
      </c>
      <c r="BU53" s="774">
        <v>0</v>
      </c>
      <c r="BV53" s="774">
        <f aca="true" t="shared" si="11" ref="BV53">BT53+BU53</f>
        <v>1946</v>
      </c>
      <c r="BW53" s="742">
        <f>4786.5+13581.35+126.44</f>
        <v>18494.289999999997</v>
      </c>
      <c r="BX53" s="742">
        <f>BW53*1.21</f>
        <v>22378.090899999996</v>
      </c>
    </row>
    <row r="54" spans="3:76" ht="15" customHeight="1" outlineLevel="1">
      <c r="C54" s="387" t="s">
        <v>152</v>
      </c>
      <c r="D54" s="388">
        <v>30</v>
      </c>
      <c r="E54" s="384"/>
      <c r="F54" s="504"/>
      <c r="G54" s="505"/>
      <c r="H54" s="505"/>
      <c r="I54" s="506"/>
      <c r="J54" s="541"/>
      <c r="L54" s="809">
        <f>401312-365332</f>
        <v>35980</v>
      </c>
      <c r="M54" s="779">
        <v>0</v>
      </c>
      <c r="N54" s="782">
        <f aca="true" t="shared" si="12" ref="N54">L54+M54</f>
        <v>35980</v>
      </c>
      <c r="O54" s="785">
        <f>29735.5+29213.45+1018.23</f>
        <v>59967.18</v>
      </c>
      <c r="P54" s="785">
        <f aca="true" t="shared" si="13" ref="P54">O54*1.21</f>
        <v>72560.28779999999</v>
      </c>
      <c r="Q54" s="384"/>
      <c r="R54" s="815"/>
      <c r="S54" s="768"/>
      <c r="T54" s="768"/>
      <c r="U54" s="819"/>
      <c r="V54" s="770"/>
      <c r="W54" s="384"/>
      <c r="X54" s="766"/>
      <c r="Y54" s="766"/>
      <c r="Z54" s="766"/>
      <c r="AA54" s="811"/>
      <c r="AB54" s="811"/>
      <c r="AC54" s="384"/>
      <c r="AD54" s="507"/>
      <c r="AE54" s="508"/>
      <c r="AF54" s="508"/>
      <c r="AG54" s="509"/>
      <c r="AH54" s="542"/>
      <c r="AI54" s="513"/>
      <c r="AJ54" s="507"/>
      <c r="AK54" s="508"/>
      <c r="AL54" s="508"/>
      <c r="AM54" s="509"/>
      <c r="AN54" s="542"/>
      <c r="AO54" s="384"/>
      <c r="AP54" s="766"/>
      <c r="AQ54" s="766"/>
      <c r="AR54" s="766"/>
      <c r="AS54" s="770"/>
      <c r="AT54" s="770"/>
      <c r="AU54" s="384"/>
      <c r="AV54" s="526"/>
      <c r="AW54" s="526"/>
      <c r="AX54" s="526">
        <f t="shared" si="7"/>
        <v>0</v>
      </c>
      <c r="AY54" s="527"/>
      <c r="AZ54" s="527">
        <f aca="true" t="shared" si="14" ref="AZ54:AZ60">AY54*1.21</f>
        <v>0</v>
      </c>
      <c r="BA54" s="384"/>
      <c r="BB54" s="768"/>
      <c r="BC54" s="768"/>
      <c r="BD54" s="768"/>
      <c r="BE54" s="819"/>
      <c r="BF54" s="770"/>
      <c r="BG54" s="384"/>
      <c r="BH54" s="774"/>
      <c r="BI54" s="774"/>
      <c r="BJ54" s="774"/>
      <c r="BK54" s="808"/>
      <c r="BL54" s="808"/>
      <c r="BM54" s="385"/>
      <c r="BN54" s="705"/>
      <c r="BO54" s="705"/>
      <c r="BP54" s="705"/>
      <c r="BQ54" s="808"/>
      <c r="BR54" s="808"/>
      <c r="BS54" s="385"/>
      <c r="BT54" s="774"/>
      <c r="BU54" s="774"/>
      <c r="BV54" s="774"/>
      <c r="BW54" s="808"/>
      <c r="BX54" s="808"/>
    </row>
    <row r="55" spans="3:76" ht="15" customHeight="1" outlineLevel="1">
      <c r="C55" s="387" t="s">
        <v>153</v>
      </c>
      <c r="D55" s="388">
        <v>31</v>
      </c>
      <c r="E55" s="384"/>
      <c r="F55" s="504"/>
      <c r="G55" s="505"/>
      <c r="H55" s="505"/>
      <c r="I55" s="506"/>
      <c r="J55" s="541"/>
      <c r="L55" s="714"/>
      <c r="M55" s="780"/>
      <c r="N55" s="783"/>
      <c r="O55" s="786"/>
      <c r="P55" s="786"/>
      <c r="Q55" s="384"/>
      <c r="R55" s="815"/>
      <c r="S55" s="768"/>
      <c r="T55" s="768"/>
      <c r="U55" s="819"/>
      <c r="V55" s="770"/>
      <c r="W55" s="384"/>
      <c r="X55" s="766"/>
      <c r="Y55" s="766"/>
      <c r="Z55" s="766"/>
      <c r="AA55" s="811"/>
      <c r="AB55" s="811"/>
      <c r="AC55" s="384"/>
      <c r="AD55" s="507"/>
      <c r="AE55" s="508"/>
      <c r="AF55" s="508"/>
      <c r="AG55" s="509"/>
      <c r="AH55" s="542"/>
      <c r="AI55" s="513"/>
      <c r="AJ55" s="507"/>
      <c r="AK55" s="508"/>
      <c r="AL55" s="508"/>
      <c r="AM55" s="509"/>
      <c r="AN55" s="542"/>
      <c r="AO55" s="384"/>
      <c r="AP55" s="766"/>
      <c r="AQ55" s="766"/>
      <c r="AR55" s="766"/>
      <c r="AS55" s="770"/>
      <c r="AT55" s="770"/>
      <c r="AU55" s="384"/>
      <c r="AV55" s="526"/>
      <c r="AW55" s="526"/>
      <c r="AX55" s="526">
        <f t="shared" si="7"/>
        <v>0</v>
      </c>
      <c r="AY55" s="527"/>
      <c r="AZ55" s="527">
        <f t="shared" si="14"/>
        <v>0</v>
      </c>
      <c r="BA55" s="384"/>
      <c r="BB55" s="768"/>
      <c r="BC55" s="768"/>
      <c r="BD55" s="768"/>
      <c r="BE55" s="819"/>
      <c r="BF55" s="770"/>
      <c r="BG55" s="384"/>
      <c r="BH55" s="774"/>
      <c r="BI55" s="774"/>
      <c r="BJ55" s="774"/>
      <c r="BK55" s="808"/>
      <c r="BL55" s="808"/>
      <c r="BM55" s="385"/>
      <c r="BN55" s="705"/>
      <c r="BO55" s="705"/>
      <c r="BP55" s="705"/>
      <c r="BQ55" s="808"/>
      <c r="BR55" s="808"/>
      <c r="BS55" s="385"/>
      <c r="BT55" s="774"/>
      <c r="BU55" s="774"/>
      <c r="BV55" s="774"/>
      <c r="BW55" s="808"/>
      <c r="BX55" s="808"/>
    </row>
    <row r="56" spans="3:76" ht="15" customHeight="1" outlineLevel="1">
      <c r="C56" s="387" t="s">
        <v>154</v>
      </c>
      <c r="D56" s="388">
        <v>31</v>
      </c>
      <c r="E56" s="384"/>
      <c r="F56" s="504"/>
      <c r="G56" s="505"/>
      <c r="H56" s="505"/>
      <c r="I56" s="506"/>
      <c r="J56" s="541"/>
      <c r="L56" s="714"/>
      <c r="M56" s="780"/>
      <c r="N56" s="783"/>
      <c r="O56" s="786"/>
      <c r="P56" s="786"/>
      <c r="Q56" s="384"/>
      <c r="R56" s="815"/>
      <c r="S56" s="768"/>
      <c r="T56" s="768"/>
      <c r="U56" s="819"/>
      <c r="V56" s="770"/>
      <c r="W56" s="384"/>
      <c r="X56" s="797"/>
      <c r="Y56" s="797"/>
      <c r="Z56" s="797"/>
      <c r="AA56" s="811"/>
      <c r="AB56" s="811"/>
      <c r="AC56" s="384"/>
      <c r="AD56" s="507"/>
      <c r="AE56" s="508"/>
      <c r="AF56" s="508"/>
      <c r="AG56" s="509"/>
      <c r="AH56" s="542"/>
      <c r="AI56" s="513"/>
      <c r="AJ56" s="507"/>
      <c r="AK56" s="508"/>
      <c r="AL56" s="508"/>
      <c r="AM56" s="509"/>
      <c r="AN56" s="542"/>
      <c r="AO56" s="384"/>
      <c r="AP56" s="797"/>
      <c r="AQ56" s="797"/>
      <c r="AR56" s="797"/>
      <c r="AS56" s="770"/>
      <c r="AT56" s="770"/>
      <c r="AU56" s="384"/>
      <c r="AV56" s="526"/>
      <c r="AW56" s="526"/>
      <c r="AX56" s="526">
        <f t="shared" si="7"/>
        <v>0</v>
      </c>
      <c r="AY56" s="527"/>
      <c r="AZ56" s="527">
        <f t="shared" si="14"/>
        <v>0</v>
      </c>
      <c r="BA56" s="384"/>
      <c r="BB56" s="768"/>
      <c r="BC56" s="768"/>
      <c r="BD56" s="768"/>
      <c r="BE56" s="819"/>
      <c r="BF56" s="770"/>
      <c r="BG56" s="384"/>
      <c r="BH56" s="774"/>
      <c r="BI56" s="774"/>
      <c r="BJ56" s="774"/>
      <c r="BK56" s="808"/>
      <c r="BL56" s="808"/>
      <c r="BM56" s="385"/>
      <c r="BN56" s="705"/>
      <c r="BO56" s="705"/>
      <c r="BP56" s="705"/>
      <c r="BQ56" s="808"/>
      <c r="BR56" s="808"/>
      <c r="BS56" s="385"/>
      <c r="BT56" s="774"/>
      <c r="BU56" s="774"/>
      <c r="BV56" s="774"/>
      <c r="BW56" s="808"/>
      <c r="BX56" s="808"/>
    </row>
    <row r="57" spans="3:76" ht="15" customHeight="1" outlineLevel="1">
      <c r="C57" s="387" t="s">
        <v>155</v>
      </c>
      <c r="D57" s="388">
        <v>30</v>
      </c>
      <c r="E57" s="384"/>
      <c r="F57" s="504"/>
      <c r="G57" s="505"/>
      <c r="H57" s="505"/>
      <c r="I57" s="506"/>
      <c r="J57" s="541"/>
      <c r="L57" s="714"/>
      <c r="M57" s="780"/>
      <c r="N57" s="783"/>
      <c r="O57" s="786"/>
      <c r="P57" s="786"/>
      <c r="Q57" s="384"/>
      <c r="R57" s="815"/>
      <c r="S57" s="768"/>
      <c r="T57" s="768"/>
      <c r="U57" s="819"/>
      <c r="V57" s="770"/>
      <c r="W57" s="384"/>
      <c r="X57" s="765">
        <v>1073</v>
      </c>
      <c r="Y57" s="765">
        <v>0</v>
      </c>
      <c r="Z57" s="765">
        <f>X57+Y57</f>
        <v>1073</v>
      </c>
      <c r="AA57" s="811"/>
      <c r="AB57" s="811"/>
      <c r="AC57" s="384"/>
      <c r="AD57" s="507"/>
      <c r="AE57" s="508"/>
      <c r="AF57" s="508"/>
      <c r="AG57" s="509"/>
      <c r="AH57" s="542"/>
      <c r="AI57" s="513"/>
      <c r="AJ57" s="507"/>
      <c r="AK57" s="508"/>
      <c r="AL57" s="508"/>
      <c r="AM57" s="509"/>
      <c r="AN57" s="542"/>
      <c r="AO57" s="384"/>
      <c r="AP57" s="765">
        <f>24596-9605</f>
        <v>14991</v>
      </c>
      <c r="AQ57" s="765">
        <v>0</v>
      </c>
      <c r="AR57" s="765">
        <f>AP57+AQ57</f>
        <v>14991</v>
      </c>
      <c r="AS57" s="770"/>
      <c r="AT57" s="770"/>
      <c r="AU57" s="384"/>
      <c r="AV57" s="526"/>
      <c r="AW57" s="526"/>
      <c r="AX57" s="526">
        <f t="shared" si="7"/>
        <v>0</v>
      </c>
      <c r="AY57" s="527"/>
      <c r="AZ57" s="527">
        <f t="shared" si="14"/>
        <v>0</v>
      </c>
      <c r="BA57" s="384"/>
      <c r="BB57" s="768"/>
      <c r="BC57" s="768"/>
      <c r="BD57" s="768"/>
      <c r="BE57" s="819"/>
      <c r="BF57" s="770"/>
      <c r="BG57" s="384"/>
      <c r="BH57" s="774">
        <f>2368-2354</f>
        <v>14</v>
      </c>
      <c r="BI57" s="774">
        <v>0</v>
      </c>
      <c r="BJ57" s="774">
        <f aca="true" t="shared" si="15" ref="BJ57">BH57+BI57</f>
        <v>14</v>
      </c>
      <c r="BK57" s="808"/>
      <c r="BL57" s="808"/>
      <c r="BM57" s="385"/>
      <c r="BN57" s="705"/>
      <c r="BO57" s="705"/>
      <c r="BP57" s="705"/>
      <c r="BQ57" s="808"/>
      <c r="BR57" s="808"/>
      <c r="BS57" s="385"/>
      <c r="BT57" s="774">
        <f>11260-8738</f>
        <v>2522</v>
      </c>
      <c r="BU57" s="774">
        <v>0</v>
      </c>
      <c r="BV57" s="774">
        <f aca="true" t="shared" si="16" ref="BV57">BT57+BU57</f>
        <v>2522</v>
      </c>
      <c r="BW57" s="808"/>
      <c r="BX57" s="808"/>
    </row>
    <row r="58" spans="3:76" ht="15" customHeight="1" outlineLevel="1">
      <c r="C58" s="387" t="s">
        <v>156</v>
      </c>
      <c r="D58" s="388">
        <v>31</v>
      </c>
      <c r="E58" s="384"/>
      <c r="F58" s="504"/>
      <c r="G58" s="505"/>
      <c r="H58" s="505"/>
      <c r="I58" s="506"/>
      <c r="J58" s="541"/>
      <c r="L58" s="714"/>
      <c r="M58" s="780"/>
      <c r="N58" s="783"/>
      <c r="O58" s="786"/>
      <c r="P58" s="786"/>
      <c r="Q58" s="384"/>
      <c r="R58" s="815"/>
      <c r="S58" s="768"/>
      <c r="T58" s="768"/>
      <c r="U58" s="819"/>
      <c r="V58" s="770"/>
      <c r="W58" s="384"/>
      <c r="X58" s="766"/>
      <c r="Y58" s="766"/>
      <c r="Z58" s="766"/>
      <c r="AA58" s="811"/>
      <c r="AB58" s="811"/>
      <c r="AC58" s="384"/>
      <c r="AD58" s="507"/>
      <c r="AE58" s="508"/>
      <c r="AF58" s="508"/>
      <c r="AG58" s="509"/>
      <c r="AH58" s="542"/>
      <c r="AI58" s="513"/>
      <c r="AJ58" s="507"/>
      <c r="AK58" s="508"/>
      <c r="AL58" s="508"/>
      <c r="AM58" s="509"/>
      <c r="AN58" s="542"/>
      <c r="AO58" s="384"/>
      <c r="AP58" s="766"/>
      <c r="AQ58" s="766"/>
      <c r="AR58" s="766"/>
      <c r="AS58" s="770"/>
      <c r="AT58" s="770"/>
      <c r="AU58" s="384"/>
      <c r="AV58" s="526"/>
      <c r="AW58" s="526"/>
      <c r="AX58" s="526">
        <f t="shared" si="7"/>
        <v>0</v>
      </c>
      <c r="AY58" s="527"/>
      <c r="AZ58" s="527">
        <f t="shared" si="14"/>
        <v>0</v>
      </c>
      <c r="BA58" s="384"/>
      <c r="BB58" s="768"/>
      <c r="BC58" s="768"/>
      <c r="BD58" s="768"/>
      <c r="BE58" s="819"/>
      <c r="BF58" s="770"/>
      <c r="BG58" s="384"/>
      <c r="BH58" s="774"/>
      <c r="BI58" s="774"/>
      <c r="BJ58" s="774"/>
      <c r="BK58" s="808"/>
      <c r="BL58" s="808"/>
      <c r="BM58" s="385"/>
      <c r="BN58" s="705"/>
      <c r="BO58" s="705"/>
      <c r="BP58" s="705"/>
      <c r="BQ58" s="808"/>
      <c r="BR58" s="808"/>
      <c r="BS58" s="385"/>
      <c r="BT58" s="774"/>
      <c r="BU58" s="774"/>
      <c r="BV58" s="774"/>
      <c r="BW58" s="808"/>
      <c r="BX58" s="808"/>
    </row>
    <row r="59" spans="3:76" ht="15" customHeight="1" outlineLevel="1">
      <c r="C59" s="387" t="s">
        <v>157</v>
      </c>
      <c r="D59" s="388">
        <v>30</v>
      </c>
      <c r="E59" s="384"/>
      <c r="F59" s="504"/>
      <c r="G59" s="505"/>
      <c r="H59" s="505"/>
      <c r="I59" s="506"/>
      <c r="J59" s="541"/>
      <c r="L59" s="714"/>
      <c r="M59" s="780"/>
      <c r="N59" s="783"/>
      <c r="O59" s="786"/>
      <c r="P59" s="786"/>
      <c r="Q59" s="384"/>
      <c r="R59" s="815"/>
      <c r="S59" s="768"/>
      <c r="T59" s="768"/>
      <c r="U59" s="819"/>
      <c r="V59" s="770"/>
      <c r="W59" s="384"/>
      <c r="X59" s="766"/>
      <c r="Y59" s="766"/>
      <c r="Z59" s="766"/>
      <c r="AA59" s="811"/>
      <c r="AB59" s="811"/>
      <c r="AC59" s="384"/>
      <c r="AD59" s="507"/>
      <c r="AE59" s="508"/>
      <c r="AF59" s="508"/>
      <c r="AG59" s="509"/>
      <c r="AH59" s="542"/>
      <c r="AI59" s="513"/>
      <c r="AJ59" s="507"/>
      <c r="AK59" s="508"/>
      <c r="AL59" s="508"/>
      <c r="AM59" s="509"/>
      <c r="AN59" s="542"/>
      <c r="AO59" s="384"/>
      <c r="AP59" s="766"/>
      <c r="AQ59" s="766"/>
      <c r="AR59" s="766"/>
      <c r="AS59" s="770"/>
      <c r="AT59" s="770"/>
      <c r="AU59" s="384"/>
      <c r="AV59" s="526"/>
      <c r="AW59" s="526"/>
      <c r="AX59" s="526">
        <f t="shared" si="7"/>
        <v>0</v>
      </c>
      <c r="AY59" s="527"/>
      <c r="AZ59" s="527">
        <f t="shared" si="14"/>
        <v>0</v>
      </c>
      <c r="BA59" s="384"/>
      <c r="BB59" s="768"/>
      <c r="BC59" s="768"/>
      <c r="BD59" s="768"/>
      <c r="BE59" s="819"/>
      <c r="BF59" s="770"/>
      <c r="BG59" s="384"/>
      <c r="BH59" s="774"/>
      <c r="BI59" s="774"/>
      <c r="BJ59" s="774"/>
      <c r="BK59" s="808"/>
      <c r="BL59" s="808"/>
      <c r="BM59" s="385"/>
      <c r="BN59" s="705"/>
      <c r="BO59" s="705"/>
      <c r="BP59" s="705"/>
      <c r="BQ59" s="808"/>
      <c r="BR59" s="808"/>
      <c r="BS59" s="385"/>
      <c r="BT59" s="774"/>
      <c r="BU59" s="774"/>
      <c r="BV59" s="774"/>
      <c r="BW59" s="808"/>
      <c r="BX59" s="808"/>
    </row>
    <row r="60" spans="3:76" ht="15" customHeight="1" outlineLevel="1">
      <c r="C60" s="387" t="s">
        <v>158</v>
      </c>
      <c r="D60" s="388">
        <v>31</v>
      </c>
      <c r="E60" s="384"/>
      <c r="F60" s="504"/>
      <c r="G60" s="505"/>
      <c r="H60" s="505"/>
      <c r="I60" s="506"/>
      <c r="J60" s="541"/>
      <c r="L60" s="715"/>
      <c r="M60" s="781"/>
      <c r="N60" s="784"/>
      <c r="O60" s="787"/>
      <c r="P60" s="787"/>
      <c r="Q60" s="384"/>
      <c r="R60" s="816"/>
      <c r="S60" s="768"/>
      <c r="T60" s="817"/>
      <c r="U60" s="819"/>
      <c r="V60" s="770"/>
      <c r="W60" s="384"/>
      <c r="X60" s="797"/>
      <c r="Y60" s="797"/>
      <c r="Z60" s="797"/>
      <c r="AA60" s="812"/>
      <c r="AB60" s="812"/>
      <c r="AC60" s="384"/>
      <c r="AD60" s="507"/>
      <c r="AE60" s="508"/>
      <c r="AF60" s="508"/>
      <c r="AG60" s="509"/>
      <c r="AH60" s="542"/>
      <c r="AI60" s="513"/>
      <c r="AJ60" s="507"/>
      <c r="AK60" s="508"/>
      <c r="AL60" s="508"/>
      <c r="AM60" s="509"/>
      <c r="AN60" s="542"/>
      <c r="AO60" s="384"/>
      <c r="AP60" s="797"/>
      <c r="AQ60" s="797"/>
      <c r="AR60" s="797"/>
      <c r="AS60" s="813"/>
      <c r="AT60" s="813"/>
      <c r="AU60" s="384"/>
      <c r="AV60" s="526"/>
      <c r="AW60" s="526"/>
      <c r="AX60" s="526">
        <f t="shared" si="7"/>
        <v>0</v>
      </c>
      <c r="AY60" s="527"/>
      <c r="AZ60" s="527">
        <f t="shared" si="14"/>
        <v>0</v>
      </c>
      <c r="BA60" s="384"/>
      <c r="BB60" s="817"/>
      <c r="BC60" s="817"/>
      <c r="BD60" s="817"/>
      <c r="BE60" s="820"/>
      <c r="BF60" s="813"/>
      <c r="BG60" s="384"/>
      <c r="BH60" s="774"/>
      <c r="BI60" s="774"/>
      <c r="BJ60" s="774"/>
      <c r="BK60" s="743"/>
      <c r="BL60" s="743"/>
      <c r="BM60" s="385"/>
      <c r="BN60" s="720"/>
      <c r="BO60" s="720"/>
      <c r="BP60" s="720"/>
      <c r="BQ60" s="743"/>
      <c r="BR60" s="743"/>
      <c r="BS60" s="385"/>
      <c r="BT60" s="774"/>
      <c r="BU60" s="774"/>
      <c r="BV60" s="774"/>
      <c r="BW60" s="743"/>
      <c r="BX60" s="743"/>
    </row>
    <row r="61" spans="6:76" ht="15">
      <c r="F61" s="425">
        <f>SUM(F49:F60)</f>
        <v>58</v>
      </c>
      <c r="G61" s="425">
        <f>SUM(G49:G60)</f>
        <v>0</v>
      </c>
      <c r="H61" s="505"/>
      <c r="I61" s="425">
        <f>SUM(I49:I60)</f>
        <v>574.9599999999999</v>
      </c>
      <c r="J61" s="425">
        <f>SUM(J49:J60)</f>
        <v>695.7015999999999</v>
      </c>
      <c r="L61" s="419">
        <f>SUM(L49:L60)</f>
        <v>62764</v>
      </c>
      <c r="M61" s="419">
        <f>SUM(M49:M60)</f>
        <v>0</v>
      </c>
      <c r="N61" s="543"/>
      <c r="O61" s="544">
        <f>SUM(O49:O60)</f>
        <v>105104.1057918552</v>
      </c>
      <c r="P61" s="544">
        <f>SUM(P49:P60)</f>
        <v>127175.96800814477</v>
      </c>
      <c r="Q61" s="397"/>
      <c r="R61" s="419">
        <f>SUM(R49:R60)</f>
        <v>24440</v>
      </c>
      <c r="S61" s="419">
        <f>SUM(S49:S60)</f>
        <v>0</v>
      </c>
      <c r="T61" s="392"/>
      <c r="U61" s="419">
        <f>SUM(U49:U60)</f>
        <v>47157.25</v>
      </c>
      <c r="V61" s="419">
        <f>SUM(V49:V60)</f>
        <v>57060.2725</v>
      </c>
      <c r="W61" s="397"/>
      <c r="X61" s="545">
        <f>SUM(X49:X60)</f>
        <v>2235</v>
      </c>
      <c r="Y61" s="545">
        <f>SUM(Y49:Y60)</f>
        <v>0</v>
      </c>
      <c r="Z61" s="546"/>
      <c r="AA61" s="545">
        <f>SUM(AA49:AA60)</f>
        <v>5825.55</v>
      </c>
      <c r="AB61" s="545">
        <f>SUM(AB49:AB60)</f>
        <v>7048.9155</v>
      </c>
      <c r="AC61" s="397"/>
      <c r="AD61" s="516">
        <f>SUM(AD49:AD60)</f>
        <v>2660</v>
      </c>
      <c r="AE61" s="516">
        <f>SUM(AE49:AE60)</f>
        <v>0</v>
      </c>
      <c r="AF61" s="508"/>
      <c r="AG61" s="516">
        <f>SUM(AG49:AG60)</f>
        <v>10898.65</v>
      </c>
      <c r="AH61" s="516">
        <f>SUM(AH49:AH60)</f>
        <v>13187.366499999998</v>
      </c>
      <c r="AI61" s="517"/>
      <c r="AJ61" s="516">
        <f>SUM(AJ49:AJ60)</f>
        <v>18</v>
      </c>
      <c r="AK61" s="516">
        <f>SUM(AK49:AK60)</f>
        <v>0</v>
      </c>
      <c r="AL61" s="508"/>
      <c r="AM61" s="516">
        <f>SUM(AM49:AM60)</f>
        <v>641.95</v>
      </c>
      <c r="AN61" s="516">
        <f>SUM(AN49:AN60)</f>
        <v>776.7595</v>
      </c>
      <c r="AO61" s="397"/>
      <c r="AP61" s="419">
        <f>SUM(AP49:AP60)</f>
        <v>43375</v>
      </c>
      <c r="AQ61" s="419">
        <f>SUM(AQ49:AQ60)</f>
        <v>0</v>
      </c>
      <c r="AR61" s="392"/>
      <c r="AS61" s="419">
        <f>SUM(AS49:AS60)</f>
        <v>86534.56</v>
      </c>
      <c r="AT61" s="419">
        <f>SUM(AT49:AT60)</f>
        <v>104706.81759999998</v>
      </c>
      <c r="AU61" s="397"/>
      <c r="AV61" s="419">
        <f>SUM(AV49:AV60)</f>
        <v>0</v>
      </c>
      <c r="AW61" s="419">
        <f>SUM(AW49:AW60)</f>
        <v>0</v>
      </c>
      <c r="AX61" s="392"/>
      <c r="AY61" s="419">
        <f>SUM(AY49:AY60)</f>
        <v>0</v>
      </c>
      <c r="AZ61" s="419">
        <f>SUM(AZ49:AZ60)</f>
        <v>0</v>
      </c>
      <c r="BA61" s="397"/>
      <c r="BB61" s="419">
        <f>SUM(BB49:BB60)</f>
        <v>22768.1</v>
      </c>
      <c r="BC61" s="419">
        <f>SUM(BC49:BC60)</f>
        <v>0</v>
      </c>
      <c r="BD61" s="518"/>
      <c r="BE61" s="419">
        <f>SUM(BE49:BE60)</f>
        <v>44638.76</v>
      </c>
      <c r="BF61" s="419">
        <f>SUM(BF49:BF60)</f>
        <v>54012.899600000004</v>
      </c>
      <c r="BG61" s="397"/>
      <c r="BH61" s="425">
        <f>SUM(BH49:BH60)</f>
        <v>41</v>
      </c>
      <c r="BI61" s="425">
        <f>SUM(BI49:BI60)</f>
        <v>0</v>
      </c>
      <c r="BJ61" s="519"/>
      <c r="BK61" s="425">
        <f>SUM(BK49:BK60)</f>
        <v>1835.5400000000002</v>
      </c>
      <c r="BL61" s="425">
        <f>SUM(BL49:BL60)</f>
        <v>2221.0034</v>
      </c>
      <c r="BM61" s="385"/>
      <c r="BN61" s="425">
        <f>SUM(BN49:BN60)</f>
        <v>159</v>
      </c>
      <c r="BO61" s="425">
        <f>SUM(BO49:BO60)</f>
        <v>0</v>
      </c>
      <c r="BP61" s="519"/>
      <c r="BQ61" s="425">
        <f>SUM(BQ49:BQ60)</f>
        <v>1636.86</v>
      </c>
      <c r="BR61" s="425">
        <f>SUM(BR49:BR60)</f>
        <v>1980.6005999999998</v>
      </c>
      <c r="BS61" s="385"/>
      <c r="BT61" s="425">
        <f>SUM(BT49:BT60)</f>
        <v>7128</v>
      </c>
      <c r="BU61" s="425">
        <f>SUM(BU49:BU60)</f>
        <v>0</v>
      </c>
      <c r="BV61" s="519"/>
      <c r="BW61" s="425">
        <f>SUM(BW49:BW60)</f>
        <v>29392.94</v>
      </c>
      <c r="BX61" s="425">
        <f>SUM(BX49:BX60)</f>
        <v>35565.4574</v>
      </c>
    </row>
    <row r="62" spans="6:76" ht="15">
      <c r="F62" s="470"/>
      <c r="G62" s="470"/>
      <c r="H62" s="470"/>
      <c r="I62" s="480"/>
      <c r="J62" s="480"/>
      <c r="N62" s="547"/>
      <c r="O62" s="548"/>
      <c r="P62" s="548"/>
      <c r="X62" s="549"/>
      <c r="Y62" s="549"/>
      <c r="Z62" s="549"/>
      <c r="AA62" s="550"/>
      <c r="AB62" s="550"/>
      <c r="AD62" s="501"/>
      <c r="AE62" s="501"/>
      <c r="AF62" s="501"/>
      <c r="AG62" s="536"/>
      <c r="AH62" s="536"/>
      <c r="AI62" s="503"/>
      <c r="AJ62" s="501"/>
      <c r="AK62" s="501"/>
      <c r="AL62" s="501"/>
      <c r="AM62" s="536"/>
      <c r="AN62" s="536"/>
      <c r="BB62" s="357"/>
      <c r="BH62" s="385"/>
      <c r="BI62" s="470"/>
      <c r="BJ62" s="470"/>
      <c r="BK62" s="480"/>
      <c r="BL62" s="480"/>
      <c r="BM62" s="385"/>
      <c r="BN62" s="385"/>
      <c r="BO62" s="470"/>
      <c r="BP62" s="470"/>
      <c r="BQ62" s="480"/>
      <c r="BR62" s="480"/>
      <c r="BS62" s="385"/>
      <c r="BT62" s="385"/>
      <c r="BU62" s="470"/>
      <c r="BV62" s="470"/>
      <c r="BW62" s="480"/>
      <c r="BX62" s="480"/>
    </row>
    <row r="63" spans="2:76" ht="15.75">
      <c r="B63" s="386">
        <v>2020</v>
      </c>
      <c r="C63" s="387" t="s">
        <v>147</v>
      </c>
      <c r="L63" s="805">
        <f>7103+18695</f>
        <v>25798</v>
      </c>
      <c r="M63" s="779">
        <v>0</v>
      </c>
      <c r="N63" s="782">
        <f aca="true" t="shared" si="17" ref="N63">L63+M63</f>
        <v>25798</v>
      </c>
      <c r="O63" s="785">
        <f>117744.35-O54</f>
        <v>57777.170000000006</v>
      </c>
      <c r="P63" s="785">
        <f aca="true" t="shared" si="18" ref="P63:P68">O63*1.21</f>
        <v>69910.3757</v>
      </c>
      <c r="R63" s="794">
        <v>6836</v>
      </c>
      <c r="S63" s="782">
        <v>0</v>
      </c>
      <c r="T63" s="782">
        <f aca="true" t="shared" si="19" ref="T63">R63+S63</f>
        <v>6836</v>
      </c>
      <c r="U63" s="785">
        <f>41998.2-U53</f>
        <v>17490.699999999993</v>
      </c>
      <c r="V63" s="785">
        <f aca="true" t="shared" si="20" ref="V63">U63*1.21</f>
        <v>21163.746999999992</v>
      </c>
      <c r="X63" s="765">
        <v>889</v>
      </c>
      <c r="Y63" s="765">
        <v>0</v>
      </c>
      <c r="Z63" s="765">
        <f>X63+Y63</f>
        <v>889</v>
      </c>
      <c r="AA63" s="802">
        <f>6482.59-AA53</f>
        <v>2812.19</v>
      </c>
      <c r="AB63" s="802">
        <f>AA63*1.21</f>
        <v>3402.7499</v>
      </c>
      <c r="AP63" s="765">
        <f>40271-24596</f>
        <v>15675</v>
      </c>
      <c r="AQ63" s="765">
        <v>0</v>
      </c>
      <c r="AR63" s="765">
        <f>AP63+AQ63</f>
        <v>15675</v>
      </c>
      <c r="AS63" s="798">
        <f>94265.6-AS53</f>
        <v>40265.59000000001</v>
      </c>
      <c r="AT63" s="798">
        <f>AS63*1.21</f>
        <v>48721.36390000001</v>
      </c>
      <c r="AV63" s="799"/>
      <c r="AW63" s="779">
        <v>0</v>
      </c>
      <c r="AX63" s="788">
        <f aca="true" t="shared" si="21" ref="AX63">AV63+AW63</f>
        <v>0</v>
      </c>
      <c r="AY63" s="791" t="s">
        <v>261</v>
      </c>
      <c r="AZ63" s="791" t="e">
        <f aca="true" t="shared" si="22" ref="AZ63">AY63*1.21</f>
        <v>#VALUE!</v>
      </c>
      <c r="BB63" s="794">
        <v>3337.7</v>
      </c>
      <c r="BC63" s="782">
        <v>0</v>
      </c>
      <c r="BD63" s="782">
        <f aca="true" t="shared" si="23" ref="BD63">BB63+BC63</f>
        <v>3337.7</v>
      </c>
      <c r="BE63" s="785">
        <f>48885.93-BE50</f>
        <v>8402.129999999997</v>
      </c>
      <c r="BF63" s="785">
        <f aca="true" t="shared" si="24" ref="BF63">BE63*1.21</f>
        <v>10166.577299999997</v>
      </c>
      <c r="BH63" s="774">
        <f>2384-2368</f>
        <v>16</v>
      </c>
      <c r="BI63" s="774">
        <v>0</v>
      </c>
      <c r="BJ63" s="774">
        <f>BH63+BI63</f>
        <v>16</v>
      </c>
      <c r="BK63" s="775">
        <f>1896.65-BK53</f>
        <v>703.06</v>
      </c>
      <c r="BL63" s="775">
        <f>BK63*1.21</f>
        <v>850.7026</v>
      </c>
      <c r="BM63" s="385"/>
      <c r="BN63" s="774">
        <v>58</v>
      </c>
      <c r="BO63" s="774">
        <v>0</v>
      </c>
      <c r="BP63" s="774">
        <f>BN63+BO63</f>
        <v>58</v>
      </c>
      <c r="BQ63" s="775">
        <f>1726.35-BQ53</f>
        <v>664.45</v>
      </c>
      <c r="BR63" s="775">
        <f>BQ63*1.21</f>
        <v>803.9845</v>
      </c>
      <c r="BS63" s="385"/>
      <c r="BT63" s="774">
        <f>14020-11260</f>
        <v>2760</v>
      </c>
      <c r="BU63" s="774">
        <v>0</v>
      </c>
      <c r="BV63" s="774">
        <f>BT63+BU63</f>
        <v>2760</v>
      </c>
      <c r="BW63" s="775">
        <f>31294.08-BW53</f>
        <v>12799.790000000005</v>
      </c>
      <c r="BX63" s="775">
        <f>BW63*1.21</f>
        <v>15487.745900000005</v>
      </c>
    </row>
    <row r="64" spans="3:76" ht="15">
      <c r="C64" s="387" t="s">
        <v>148</v>
      </c>
      <c r="L64" s="806"/>
      <c r="M64" s="780"/>
      <c r="N64" s="783"/>
      <c r="O64" s="786"/>
      <c r="P64" s="786"/>
      <c r="R64" s="795"/>
      <c r="S64" s="783"/>
      <c r="T64" s="783"/>
      <c r="U64" s="786"/>
      <c r="V64" s="786"/>
      <c r="X64" s="766"/>
      <c r="Y64" s="766"/>
      <c r="Z64" s="766"/>
      <c r="AA64" s="803"/>
      <c r="AB64" s="803"/>
      <c r="AP64" s="766"/>
      <c r="AQ64" s="766"/>
      <c r="AR64" s="766"/>
      <c r="AS64" s="798"/>
      <c r="AT64" s="798"/>
      <c r="AV64" s="800"/>
      <c r="AW64" s="780"/>
      <c r="AX64" s="789"/>
      <c r="AY64" s="792"/>
      <c r="AZ64" s="792"/>
      <c r="BB64" s="795"/>
      <c r="BC64" s="783"/>
      <c r="BD64" s="783"/>
      <c r="BE64" s="786"/>
      <c r="BF64" s="786"/>
      <c r="BH64" s="774"/>
      <c r="BI64" s="774"/>
      <c r="BJ64" s="774"/>
      <c r="BK64" s="775"/>
      <c r="BL64" s="775"/>
      <c r="BM64" s="385"/>
      <c r="BN64" s="774"/>
      <c r="BO64" s="774"/>
      <c r="BP64" s="774"/>
      <c r="BQ64" s="775"/>
      <c r="BR64" s="775"/>
      <c r="BS64" s="385"/>
      <c r="BT64" s="774"/>
      <c r="BU64" s="774"/>
      <c r="BV64" s="774"/>
      <c r="BW64" s="775"/>
      <c r="BX64" s="775"/>
    </row>
    <row r="65" spans="3:76" ht="15">
      <c r="C65" s="387" t="s">
        <v>149</v>
      </c>
      <c r="L65" s="806"/>
      <c r="M65" s="780"/>
      <c r="N65" s="783"/>
      <c r="O65" s="786"/>
      <c r="P65" s="786"/>
      <c r="R65" s="795"/>
      <c r="S65" s="783"/>
      <c r="T65" s="783"/>
      <c r="U65" s="786"/>
      <c r="V65" s="786"/>
      <c r="X65" s="766"/>
      <c r="Y65" s="766"/>
      <c r="Z65" s="766"/>
      <c r="AA65" s="803"/>
      <c r="AB65" s="803"/>
      <c r="AP65" s="766"/>
      <c r="AQ65" s="766"/>
      <c r="AR65" s="766"/>
      <c r="AS65" s="798"/>
      <c r="AT65" s="798"/>
      <c r="AV65" s="800"/>
      <c r="AW65" s="780"/>
      <c r="AX65" s="789"/>
      <c r="AY65" s="792"/>
      <c r="AZ65" s="792"/>
      <c r="BB65" s="795"/>
      <c r="BC65" s="783"/>
      <c r="BD65" s="783"/>
      <c r="BE65" s="786"/>
      <c r="BF65" s="786"/>
      <c r="BH65" s="774"/>
      <c r="BI65" s="774"/>
      <c r="BJ65" s="774"/>
      <c r="BK65" s="775"/>
      <c r="BL65" s="775"/>
      <c r="BM65" s="385"/>
      <c r="BN65" s="774"/>
      <c r="BO65" s="774"/>
      <c r="BP65" s="774"/>
      <c r="BQ65" s="775"/>
      <c r="BR65" s="775"/>
      <c r="BS65" s="385"/>
      <c r="BT65" s="774"/>
      <c r="BU65" s="774"/>
      <c r="BV65" s="774"/>
      <c r="BW65" s="775"/>
      <c r="BX65" s="775"/>
    </row>
    <row r="66" spans="3:76" ht="15">
      <c r="C66" s="387" t="s">
        <v>150</v>
      </c>
      <c r="L66" s="806"/>
      <c r="M66" s="780"/>
      <c r="N66" s="783"/>
      <c r="O66" s="786"/>
      <c r="P66" s="786"/>
      <c r="R66" s="795"/>
      <c r="S66" s="783"/>
      <c r="T66" s="783"/>
      <c r="U66" s="786"/>
      <c r="V66" s="786"/>
      <c r="X66" s="797"/>
      <c r="Y66" s="797"/>
      <c r="Z66" s="797"/>
      <c r="AA66" s="804"/>
      <c r="AB66" s="803"/>
      <c r="AP66" s="797"/>
      <c r="AQ66" s="797"/>
      <c r="AR66" s="797"/>
      <c r="AS66" s="798"/>
      <c r="AT66" s="798"/>
      <c r="AV66" s="800"/>
      <c r="AW66" s="780"/>
      <c r="AX66" s="789"/>
      <c r="AY66" s="792"/>
      <c r="AZ66" s="792"/>
      <c r="BB66" s="795"/>
      <c r="BC66" s="783"/>
      <c r="BD66" s="783"/>
      <c r="BE66" s="786"/>
      <c r="BF66" s="786"/>
      <c r="BH66" s="774"/>
      <c r="BI66" s="774"/>
      <c r="BJ66" s="774"/>
      <c r="BK66" s="775"/>
      <c r="BL66" s="775"/>
      <c r="BM66" s="385"/>
      <c r="BN66" s="774"/>
      <c r="BO66" s="774"/>
      <c r="BP66" s="774"/>
      <c r="BQ66" s="775"/>
      <c r="BR66" s="775"/>
      <c r="BS66" s="385"/>
      <c r="BT66" s="774"/>
      <c r="BU66" s="774"/>
      <c r="BV66" s="774"/>
      <c r="BW66" s="775"/>
      <c r="BX66" s="775"/>
    </row>
    <row r="67" spans="3:76" ht="15">
      <c r="C67" s="387" t="s">
        <v>151</v>
      </c>
      <c r="L67" s="807"/>
      <c r="M67" s="781"/>
      <c r="N67" s="784"/>
      <c r="O67" s="787"/>
      <c r="P67" s="787"/>
      <c r="R67" s="796"/>
      <c r="S67" s="784"/>
      <c r="T67" s="784"/>
      <c r="U67" s="787"/>
      <c r="V67" s="787"/>
      <c r="X67" s="686"/>
      <c r="Y67" s="686"/>
      <c r="Z67" s="686">
        <f>X67+Y67</f>
        <v>0</v>
      </c>
      <c r="AA67" s="736" t="s">
        <v>261</v>
      </c>
      <c r="AB67" s="736" t="e">
        <f>AA67*1.21</f>
        <v>#VALUE!</v>
      </c>
      <c r="AP67" s="686"/>
      <c r="AQ67" s="686">
        <v>0</v>
      </c>
      <c r="AR67" s="686">
        <f>AP67+AQ67</f>
        <v>0</v>
      </c>
      <c r="AS67" s="736" t="s">
        <v>261</v>
      </c>
      <c r="AT67" s="736" t="e">
        <f>AS67*1.21</f>
        <v>#VALUE!</v>
      </c>
      <c r="AV67" s="801"/>
      <c r="AW67" s="781"/>
      <c r="AX67" s="790"/>
      <c r="AY67" s="793"/>
      <c r="AZ67" s="793"/>
      <c r="BB67" s="796"/>
      <c r="BC67" s="784"/>
      <c r="BD67" s="784"/>
      <c r="BE67" s="787"/>
      <c r="BF67" s="787"/>
      <c r="BH67" s="774"/>
      <c r="BI67" s="774"/>
      <c r="BJ67" s="774">
        <f aca="true" t="shared" si="25" ref="BJ67">BH67+BI67</f>
        <v>0</v>
      </c>
      <c r="BK67" s="775" t="s">
        <v>261</v>
      </c>
      <c r="BL67" s="775"/>
      <c r="BM67" s="385"/>
      <c r="BN67" s="774"/>
      <c r="BO67" s="774"/>
      <c r="BP67" s="774">
        <f aca="true" t="shared" si="26" ref="BP67">BN67+BO67</f>
        <v>0</v>
      </c>
      <c r="BQ67" s="775" t="s">
        <v>261</v>
      </c>
      <c r="BR67" s="775"/>
      <c r="BS67" s="385"/>
      <c r="BT67" s="774"/>
      <c r="BU67" s="774"/>
      <c r="BV67" s="774">
        <f aca="true" t="shared" si="27" ref="BV67">BT67+BU67</f>
        <v>0</v>
      </c>
      <c r="BW67" s="775" t="s">
        <v>261</v>
      </c>
      <c r="BX67" s="775"/>
    </row>
    <row r="68" spans="3:76" ht="15">
      <c r="C68" s="387" t="s">
        <v>152</v>
      </c>
      <c r="L68" s="779"/>
      <c r="M68" s="779">
        <v>0</v>
      </c>
      <c r="N68" s="779">
        <f aca="true" t="shared" si="28" ref="N68">L68+M68</f>
        <v>0</v>
      </c>
      <c r="O68" s="776"/>
      <c r="P68" s="776">
        <f t="shared" si="18"/>
        <v>0</v>
      </c>
      <c r="R68" s="779"/>
      <c r="S68" s="779">
        <v>0</v>
      </c>
      <c r="T68" s="779">
        <f aca="true" t="shared" si="29" ref="T68">R68+S68</f>
        <v>0</v>
      </c>
      <c r="U68" s="776" t="s">
        <v>261</v>
      </c>
      <c r="V68" s="776" t="e">
        <f aca="true" t="shared" si="30" ref="V68">U68*1.21</f>
        <v>#VALUE!</v>
      </c>
      <c r="X68" s="687"/>
      <c r="Y68" s="687"/>
      <c r="Z68" s="687"/>
      <c r="AA68" s="737"/>
      <c r="AB68" s="737"/>
      <c r="AP68" s="687"/>
      <c r="AQ68" s="687"/>
      <c r="AR68" s="687"/>
      <c r="AS68" s="737"/>
      <c r="AT68" s="737"/>
      <c r="AV68" s="779"/>
      <c r="AW68" s="779">
        <v>0</v>
      </c>
      <c r="AX68" s="779">
        <f aca="true" t="shared" si="31" ref="AX68">AV68+AW68</f>
        <v>0</v>
      </c>
      <c r="AY68" s="776" t="s">
        <v>261</v>
      </c>
      <c r="AZ68" s="776" t="e">
        <f aca="true" t="shared" si="32" ref="AZ68">AY68*1.21</f>
        <v>#VALUE!</v>
      </c>
      <c r="BB68" s="779"/>
      <c r="BC68" s="779">
        <v>0</v>
      </c>
      <c r="BD68" s="779">
        <f aca="true" t="shared" si="33" ref="BD68">BB68+BC68</f>
        <v>0</v>
      </c>
      <c r="BE68" s="776" t="s">
        <v>261</v>
      </c>
      <c r="BF68" s="776" t="e">
        <f aca="true" t="shared" si="34" ref="BF68">BE68*1.21</f>
        <v>#VALUE!</v>
      </c>
      <c r="BH68" s="774"/>
      <c r="BI68" s="774"/>
      <c r="BJ68" s="774"/>
      <c r="BK68" s="775"/>
      <c r="BL68" s="775"/>
      <c r="BM68" s="385"/>
      <c r="BN68" s="774"/>
      <c r="BO68" s="774"/>
      <c r="BP68" s="774"/>
      <c r="BQ68" s="775"/>
      <c r="BR68" s="775"/>
      <c r="BS68" s="385"/>
      <c r="BT68" s="774"/>
      <c r="BU68" s="774"/>
      <c r="BV68" s="774"/>
      <c r="BW68" s="775"/>
      <c r="BX68" s="775"/>
    </row>
    <row r="69" spans="3:76" ht="15">
      <c r="C69" s="387" t="s">
        <v>153</v>
      </c>
      <c r="L69" s="780"/>
      <c r="M69" s="780"/>
      <c r="N69" s="780"/>
      <c r="O69" s="777"/>
      <c r="P69" s="777"/>
      <c r="R69" s="780"/>
      <c r="S69" s="780"/>
      <c r="T69" s="780"/>
      <c r="U69" s="777"/>
      <c r="V69" s="777"/>
      <c r="X69" s="687"/>
      <c r="Y69" s="687"/>
      <c r="Z69" s="687"/>
      <c r="AA69" s="737"/>
      <c r="AB69" s="737"/>
      <c r="AP69" s="687"/>
      <c r="AQ69" s="687"/>
      <c r="AR69" s="687"/>
      <c r="AS69" s="737"/>
      <c r="AT69" s="737"/>
      <c r="AV69" s="780"/>
      <c r="AW69" s="780"/>
      <c r="AX69" s="780"/>
      <c r="AY69" s="777"/>
      <c r="AZ69" s="777"/>
      <c r="BB69" s="780"/>
      <c r="BC69" s="780"/>
      <c r="BD69" s="780"/>
      <c r="BE69" s="777"/>
      <c r="BF69" s="777"/>
      <c r="BH69" s="774"/>
      <c r="BI69" s="774"/>
      <c r="BJ69" s="774"/>
      <c r="BK69" s="775"/>
      <c r="BL69" s="775"/>
      <c r="BM69" s="385"/>
      <c r="BN69" s="774"/>
      <c r="BO69" s="774"/>
      <c r="BP69" s="774"/>
      <c r="BQ69" s="775"/>
      <c r="BR69" s="775"/>
      <c r="BS69" s="385"/>
      <c r="BT69" s="774"/>
      <c r="BU69" s="774"/>
      <c r="BV69" s="774"/>
      <c r="BW69" s="775"/>
      <c r="BX69" s="775"/>
    </row>
    <row r="70" spans="3:76" ht="15">
      <c r="C70" s="387" t="s">
        <v>154</v>
      </c>
      <c r="L70" s="780"/>
      <c r="M70" s="780"/>
      <c r="N70" s="780"/>
      <c r="O70" s="777"/>
      <c r="P70" s="777"/>
      <c r="R70" s="780"/>
      <c r="S70" s="780"/>
      <c r="T70" s="780"/>
      <c r="U70" s="777"/>
      <c r="V70" s="777"/>
      <c r="X70" s="727"/>
      <c r="Y70" s="727"/>
      <c r="Z70" s="727"/>
      <c r="AA70" s="741"/>
      <c r="AB70" s="741"/>
      <c r="AP70" s="727"/>
      <c r="AQ70" s="727"/>
      <c r="AR70" s="727"/>
      <c r="AS70" s="741"/>
      <c r="AT70" s="741"/>
      <c r="AV70" s="780"/>
      <c r="AW70" s="780"/>
      <c r="AX70" s="780"/>
      <c r="AY70" s="777"/>
      <c r="AZ70" s="777"/>
      <c r="BB70" s="780"/>
      <c r="BC70" s="780"/>
      <c r="BD70" s="780"/>
      <c r="BE70" s="777"/>
      <c r="BF70" s="777"/>
      <c r="BH70" s="774"/>
      <c r="BI70" s="774"/>
      <c r="BJ70" s="774"/>
      <c r="BK70" s="775"/>
      <c r="BL70" s="775"/>
      <c r="BM70" s="385"/>
      <c r="BN70" s="774"/>
      <c r="BO70" s="774"/>
      <c r="BP70" s="774"/>
      <c r="BQ70" s="775"/>
      <c r="BR70" s="775"/>
      <c r="BS70" s="385"/>
      <c r="BT70" s="774"/>
      <c r="BU70" s="774"/>
      <c r="BV70" s="774"/>
      <c r="BW70" s="775"/>
      <c r="BX70" s="775"/>
    </row>
    <row r="71" spans="3:76" ht="15">
      <c r="C71" s="387" t="s">
        <v>155</v>
      </c>
      <c r="L71" s="780"/>
      <c r="M71" s="780"/>
      <c r="N71" s="780"/>
      <c r="O71" s="777"/>
      <c r="P71" s="777"/>
      <c r="R71" s="780"/>
      <c r="S71" s="780"/>
      <c r="T71" s="780"/>
      <c r="U71" s="777"/>
      <c r="V71" s="777"/>
      <c r="X71" s="686"/>
      <c r="Y71" s="686"/>
      <c r="Z71" s="686">
        <f>X71+Y71</f>
        <v>0</v>
      </c>
      <c r="AA71" s="736" t="s">
        <v>261</v>
      </c>
      <c r="AB71" s="736" t="e">
        <f>AA71*1.21</f>
        <v>#VALUE!</v>
      </c>
      <c r="AP71" s="771"/>
      <c r="AQ71" s="771">
        <v>0</v>
      </c>
      <c r="AR71" s="771">
        <f>AP71+AQ71</f>
        <v>0</v>
      </c>
      <c r="AS71" s="761" t="s">
        <v>261</v>
      </c>
      <c r="AT71" s="761" t="e">
        <f>AS71*1.21</f>
        <v>#VALUE!</v>
      </c>
      <c r="AV71" s="780"/>
      <c r="AW71" s="780"/>
      <c r="AX71" s="780"/>
      <c r="AY71" s="777"/>
      <c r="AZ71" s="777"/>
      <c r="BB71" s="780"/>
      <c r="BC71" s="780"/>
      <c r="BD71" s="780"/>
      <c r="BE71" s="777"/>
      <c r="BF71" s="777"/>
      <c r="BH71" s="774"/>
      <c r="BI71" s="774"/>
      <c r="BJ71" s="774">
        <f aca="true" t="shared" si="35" ref="BJ71">BH71+BI71</f>
        <v>0</v>
      </c>
      <c r="BK71" s="775" t="s">
        <v>261</v>
      </c>
      <c r="BL71" s="775"/>
      <c r="BM71" s="385"/>
      <c r="BN71" s="774"/>
      <c r="BO71" s="774"/>
      <c r="BP71" s="774">
        <f aca="true" t="shared" si="36" ref="BP71">BN71+BO71</f>
        <v>0</v>
      </c>
      <c r="BQ71" s="775" t="s">
        <v>261</v>
      </c>
      <c r="BR71" s="775"/>
      <c r="BS71" s="385"/>
      <c r="BT71" s="774"/>
      <c r="BU71" s="774"/>
      <c r="BV71" s="774">
        <f aca="true" t="shared" si="37" ref="BV71">BT71+BU71</f>
        <v>0</v>
      </c>
      <c r="BW71" s="775" t="s">
        <v>261</v>
      </c>
      <c r="BX71" s="775"/>
    </row>
    <row r="72" spans="3:76" ht="15">
      <c r="C72" s="387" t="s">
        <v>156</v>
      </c>
      <c r="L72" s="780"/>
      <c r="M72" s="780"/>
      <c r="N72" s="780"/>
      <c r="O72" s="777"/>
      <c r="P72" s="777"/>
      <c r="R72" s="780"/>
      <c r="S72" s="780"/>
      <c r="T72" s="780"/>
      <c r="U72" s="777"/>
      <c r="V72" s="777"/>
      <c r="X72" s="687"/>
      <c r="Y72" s="687"/>
      <c r="Z72" s="687"/>
      <c r="AA72" s="737"/>
      <c r="AB72" s="737"/>
      <c r="AP72" s="771"/>
      <c r="AQ72" s="771"/>
      <c r="AR72" s="771"/>
      <c r="AS72" s="761"/>
      <c r="AT72" s="761"/>
      <c r="AV72" s="780"/>
      <c r="AW72" s="780"/>
      <c r="AX72" s="780"/>
      <c r="AY72" s="777"/>
      <c r="AZ72" s="777"/>
      <c r="BB72" s="780"/>
      <c r="BC72" s="780"/>
      <c r="BD72" s="780"/>
      <c r="BE72" s="777"/>
      <c r="BF72" s="777"/>
      <c r="BH72" s="774"/>
      <c r="BI72" s="774"/>
      <c r="BJ72" s="774"/>
      <c r="BK72" s="775"/>
      <c r="BL72" s="775"/>
      <c r="BM72" s="385"/>
      <c r="BN72" s="774"/>
      <c r="BO72" s="774"/>
      <c r="BP72" s="774"/>
      <c r="BQ72" s="775"/>
      <c r="BR72" s="775"/>
      <c r="BS72" s="385"/>
      <c r="BT72" s="774"/>
      <c r="BU72" s="774"/>
      <c r="BV72" s="774"/>
      <c r="BW72" s="775"/>
      <c r="BX72" s="775"/>
    </row>
    <row r="73" spans="3:76" ht="15">
      <c r="C73" s="387" t="s">
        <v>157</v>
      </c>
      <c r="L73" s="780"/>
      <c r="M73" s="780"/>
      <c r="N73" s="780"/>
      <c r="O73" s="777"/>
      <c r="P73" s="777"/>
      <c r="R73" s="780"/>
      <c r="S73" s="780"/>
      <c r="T73" s="780"/>
      <c r="U73" s="777"/>
      <c r="V73" s="777"/>
      <c r="X73" s="687"/>
      <c r="Y73" s="687"/>
      <c r="Z73" s="687"/>
      <c r="AA73" s="737"/>
      <c r="AB73" s="737"/>
      <c r="AP73" s="771"/>
      <c r="AQ73" s="771"/>
      <c r="AR73" s="771"/>
      <c r="AS73" s="761"/>
      <c r="AT73" s="761"/>
      <c r="AV73" s="780"/>
      <c r="AW73" s="780"/>
      <c r="AX73" s="780"/>
      <c r="AY73" s="777"/>
      <c r="AZ73" s="777"/>
      <c r="BB73" s="780"/>
      <c r="BC73" s="780"/>
      <c r="BD73" s="780"/>
      <c r="BE73" s="777"/>
      <c r="BF73" s="777"/>
      <c r="BH73" s="774"/>
      <c r="BI73" s="774"/>
      <c r="BJ73" s="774"/>
      <c r="BK73" s="775"/>
      <c r="BL73" s="775"/>
      <c r="BM73" s="385"/>
      <c r="BN73" s="774"/>
      <c r="BO73" s="774"/>
      <c r="BP73" s="774"/>
      <c r="BQ73" s="775"/>
      <c r="BR73" s="775"/>
      <c r="BS73" s="385"/>
      <c r="BT73" s="774"/>
      <c r="BU73" s="774"/>
      <c r="BV73" s="774"/>
      <c r="BW73" s="775"/>
      <c r="BX73" s="775"/>
    </row>
    <row r="74" spans="3:76" ht="15">
      <c r="C74" s="387" t="s">
        <v>158</v>
      </c>
      <c r="L74" s="781"/>
      <c r="M74" s="781"/>
      <c r="N74" s="781"/>
      <c r="O74" s="778"/>
      <c r="P74" s="778"/>
      <c r="R74" s="781"/>
      <c r="S74" s="781"/>
      <c r="T74" s="781"/>
      <c r="U74" s="778"/>
      <c r="V74" s="778"/>
      <c r="X74" s="727"/>
      <c r="Y74" s="727"/>
      <c r="Z74" s="727"/>
      <c r="AA74" s="741"/>
      <c r="AB74" s="741"/>
      <c r="AP74" s="771"/>
      <c r="AQ74" s="771"/>
      <c r="AR74" s="771"/>
      <c r="AS74" s="761"/>
      <c r="AT74" s="761"/>
      <c r="AV74" s="781"/>
      <c r="AW74" s="781"/>
      <c r="AX74" s="781"/>
      <c r="AY74" s="778"/>
      <c r="AZ74" s="778"/>
      <c r="BB74" s="781"/>
      <c r="BC74" s="781"/>
      <c r="BD74" s="781"/>
      <c r="BE74" s="778"/>
      <c r="BF74" s="778"/>
      <c r="BH74" s="774"/>
      <c r="BI74" s="774"/>
      <c r="BJ74" s="774"/>
      <c r="BK74" s="775"/>
      <c r="BL74" s="775"/>
      <c r="BM74" s="385"/>
      <c r="BN74" s="774"/>
      <c r="BO74" s="774"/>
      <c r="BP74" s="774"/>
      <c r="BQ74" s="775"/>
      <c r="BR74" s="775"/>
      <c r="BS74" s="385"/>
      <c r="BT74" s="774"/>
      <c r="BU74" s="774"/>
      <c r="BV74" s="774"/>
      <c r="BW74" s="775"/>
      <c r="BX74" s="775"/>
    </row>
    <row r="75" spans="12:76" ht="15">
      <c r="L75" s="419">
        <f>SUM(L63:L74)</f>
        <v>25798</v>
      </c>
      <c r="M75" s="419">
        <f>SUM(M63:M74)</f>
        <v>0</v>
      </c>
      <c r="N75" s="392"/>
      <c r="O75" s="419">
        <f>SUM(O63:O74)</f>
        <v>57777.170000000006</v>
      </c>
      <c r="P75" s="419">
        <f>SUM(P63:P74)</f>
        <v>69910.3757</v>
      </c>
      <c r="R75" s="419">
        <f>SUM(R63:R74)</f>
        <v>6836</v>
      </c>
      <c r="S75" s="419">
        <f>SUM(S63:S74)</f>
        <v>0</v>
      </c>
      <c r="T75" s="392"/>
      <c r="U75" s="419">
        <f>SUM(U63:U74)</f>
        <v>17490.699999999993</v>
      </c>
      <c r="V75" s="419" t="e">
        <f>SUM(V63:V74)</f>
        <v>#VALUE!</v>
      </c>
      <c r="X75" s="419">
        <f>SUM(X63:X74)</f>
        <v>889</v>
      </c>
      <c r="Y75" s="419">
        <f>SUM(Y63:Y74)</f>
        <v>0</v>
      </c>
      <c r="Z75" s="392"/>
      <c r="AA75" s="419">
        <f>SUM(AA63:AA74)</f>
        <v>2812.19</v>
      </c>
      <c r="AB75" s="419" t="e">
        <f>SUM(AB63:AB74)</f>
        <v>#VALUE!</v>
      </c>
      <c r="AP75" s="419">
        <f>SUM(AP63:AP74)</f>
        <v>15675</v>
      </c>
      <c r="AQ75" s="419">
        <f>SUM(AQ63:AQ74)</f>
        <v>0</v>
      </c>
      <c r="AR75" s="392"/>
      <c r="AS75" s="419">
        <f>SUM(AS63:AS74)</f>
        <v>40265.59000000001</v>
      </c>
      <c r="AT75" s="419" t="e">
        <f>SUM(AT63:AT74)</f>
        <v>#VALUE!</v>
      </c>
      <c r="AV75" s="419">
        <f>SUM(AV63:AV74)</f>
        <v>0</v>
      </c>
      <c r="AW75" s="419">
        <f>SUM(AW63:AW74)</f>
        <v>0</v>
      </c>
      <c r="AX75" s="392"/>
      <c r="AY75" s="419">
        <f>SUM(AY63:AY74)</f>
        <v>0</v>
      </c>
      <c r="AZ75" s="419" t="e">
        <f>SUM(AZ63:AZ74)</f>
        <v>#VALUE!</v>
      </c>
      <c r="BB75" s="419">
        <f>SUM(BB63:BB74)</f>
        <v>3337.7</v>
      </c>
      <c r="BC75" s="419">
        <f>SUM(BC63:BC74)</f>
        <v>0</v>
      </c>
      <c r="BD75" s="392"/>
      <c r="BE75" s="419">
        <f>SUM(BE63:BE74)</f>
        <v>8402.129999999997</v>
      </c>
      <c r="BF75" s="419" t="e">
        <f>SUM(BF63:BF74)</f>
        <v>#VALUE!</v>
      </c>
      <c r="BH75" s="425">
        <f>SUM(BH63:BH74)</f>
        <v>16</v>
      </c>
      <c r="BI75" s="425">
        <f>SUM(BI63:BI74)</f>
        <v>0</v>
      </c>
      <c r="BJ75" s="519"/>
      <c r="BK75" s="425">
        <f>SUM(BK63:BK74)</f>
        <v>703.06</v>
      </c>
      <c r="BL75" s="425">
        <f>SUM(BL63:BL74)</f>
        <v>850.7026</v>
      </c>
      <c r="BM75" s="385"/>
      <c r="BN75" s="425">
        <f>SUM(BN63:BN74)</f>
        <v>58</v>
      </c>
      <c r="BO75" s="425">
        <f>SUM(BO63:BO74)</f>
        <v>0</v>
      </c>
      <c r="BP75" s="519"/>
      <c r="BQ75" s="425">
        <f>SUM(BQ63:BQ74)</f>
        <v>664.45</v>
      </c>
      <c r="BR75" s="425">
        <f>SUM(BR63:BR74)</f>
        <v>803.9845</v>
      </c>
      <c r="BS75" s="385"/>
      <c r="BT75" s="425">
        <f>SUM(BT63:BT74)</f>
        <v>2760</v>
      </c>
      <c r="BU75" s="425">
        <f>SUM(BU63:BU74)</f>
        <v>0</v>
      </c>
      <c r="BV75" s="519"/>
      <c r="BW75" s="425">
        <f>SUM(BW63:BW74)</f>
        <v>12799.790000000005</v>
      </c>
      <c r="BX75" s="425">
        <f>SUM(BX63:BX74)</f>
        <v>15487.745900000005</v>
      </c>
    </row>
    <row r="77" spans="4:78" ht="15">
      <c r="D77" s="551"/>
      <c r="E77" s="552"/>
      <c r="F77" s="476"/>
      <c r="G77" s="476"/>
      <c r="H77" s="476"/>
      <c r="I77" s="553"/>
      <c r="J77" s="553"/>
      <c r="K77" s="473"/>
      <c r="L77" s="597" t="s">
        <v>185</v>
      </c>
      <c r="M77" s="597"/>
      <c r="N77" s="597"/>
      <c r="O77" s="553"/>
      <c r="P77" s="597" t="s">
        <v>1</v>
      </c>
      <c r="Q77" s="598"/>
      <c r="R77" s="597" t="s">
        <v>185</v>
      </c>
      <c r="S77" s="597"/>
      <c r="T77" s="597"/>
      <c r="U77" s="553"/>
      <c r="V77" s="597" t="s">
        <v>1</v>
      </c>
      <c r="W77" s="598"/>
      <c r="X77" s="597" t="s">
        <v>185</v>
      </c>
      <c r="Y77" s="597"/>
      <c r="Z77" s="597"/>
      <c r="AA77" s="553"/>
      <c r="AB77" s="597" t="s">
        <v>1</v>
      </c>
      <c r="AC77" s="598"/>
      <c r="AD77" s="597"/>
      <c r="AE77" s="597"/>
      <c r="AF77" s="597"/>
      <c r="AG77" s="553"/>
      <c r="AH77" s="553"/>
      <c r="AI77" s="598"/>
      <c r="AJ77" s="597"/>
      <c r="AK77" s="597"/>
      <c r="AL77" s="597"/>
      <c r="AM77" s="553"/>
      <c r="AN77" s="553"/>
      <c r="AO77" s="598"/>
      <c r="AP77" s="597" t="s">
        <v>185</v>
      </c>
      <c r="AQ77" s="597"/>
      <c r="AR77" s="597"/>
      <c r="AS77" s="553"/>
      <c r="AT77" s="597" t="s">
        <v>1</v>
      </c>
      <c r="AU77" s="598"/>
      <c r="AV77" s="597" t="s">
        <v>185</v>
      </c>
      <c r="AW77" s="597"/>
      <c r="AX77" s="597"/>
      <c r="AY77" s="553"/>
      <c r="AZ77" s="597" t="s">
        <v>1</v>
      </c>
      <c r="BA77" s="598"/>
      <c r="BB77" s="597" t="s">
        <v>185</v>
      </c>
      <c r="BC77" s="597"/>
      <c r="BD77" s="597"/>
      <c r="BE77" s="553"/>
      <c r="BF77" s="597" t="s">
        <v>1</v>
      </c>
      <c r="BG77" s="552"/>
      <c r="BH77" s="476"/>
      <c r="BI77" s="476"/>
      <c r="BJ77" s="476"/>
      <c r="BK77" s="553"/>
      <c r="BL77" s="553"/>
      <c r="BM77" s="473"/>
      <c r="BN77" s="476"/>
      <c r="BO77" s="476"/>
      <c r="BP77" s="476"/>
      <c r="BQ77" s="553"/>
      <c r="BR77" s="553"/>
      <c r="BS77" s="473"/>
      <c r="BT77" s="476"/>
      <c r="BU77" s="476"/>
      <c r="BV77" s="476"/>
      <c r="BW77" s="553"/>
      <c r="BX77" s="553"/>
      <c r="BY77" s="473"/>
      <c r="BZ77" s="473"/>
    </row>
    <row r="78" spans="3:76" ht="15">
      <c r="C78" s="554" t="s">
        <v>262</v>
      </c>
      <c r="F78" s="425">
        <f>F33</f>
        <v>148</v>
      </c>
      <c r="G78" s="470"/>
      <c r="H78" s="470"/>
      <c r="I78" s="480"/>
      <c r="J78" s="425">
        <f>J33</f>
        <v>1779.9825999999998</v>
      </c>
      <c r="L78" s="425"/>
      <c r="M78" s="470"/>
      <c r="N78" s="470"/>
      <c r="O78" s="480"/>
      <c r="P78" s="425"/>
      <c r="R78" s="419">
        <f>R33</f>
        <v>10365</v>
      </c>
      <c r="V78" s="419">
        <f>V33</f>
        <v>26325.4739</v>
      </c>
      <c r="X78" s="419">
        <f>X33</f>
        <v>2324</v>
      </c>
      <c r="AB78" s="419">
        <f>AB33</f>
        <v>6945.581499999999</v>
      </c>
      <c r="AD78" s="419"/>
      <c r="AH78" s="419"/>
      <c r="AJ78" s="419"/>
      <c r="AN78" s="419"/>
      <c r="AP78" s="419">
        <f>AP33</f>
        <v>47316</v>
      </c>
      <c r="AT78" s="419">
        <f>AT33</f>
        <v>108490.10040000001</v>
      </c>
      <c r="AV78" s="419">
        <f>AV33</f>
        <v>0</v>
      </c>
      <c r="AZ78" s="419">
        <f>AZ33</f>
        <v>0</v>
      </c>
      <c r="BB78" s="419">
        <f>BB33</f>
        <v>22134</v>
      </c>
      <c r="BF78" s="419">
        <f>BF33</f>
        <v>49800.8412</v>
      </c>
      <c r="BH78" s="425"/>
      <c r="BI78" s="470"/>
      <c r="BJ78" s="470"/>
      <c r="BK78" s="480"/>
      <c r="BL78" s="425"/>
      <c r="BM78" s="385"/>
      <c r="BN78" s="425"/>
      <c r="BO78" s="470"/>
      <c r="BP78" s="470"/>
      <c r="BQ78" s="480"/>
      <c r="BR78" s="425"/>
      <c r="BS78" s="385"/>
      <c r="BT78" s="425"/>
      <c r="BU78" s="470"/>
      <c r="BV78" s="470"/>
      <c r="BW78" s="480"/>
      <c r="BX78" s="425"/>
    </row>
    <row r="79" spans="3:76" ht="15">
      <c r="C79" s="554" t="s">
        <v>263</v>
      </c>
      <c r="F79" s="425">
        <f>F47+F61</f>
        <v>160</v>
      </c>
      <c r="G79" s="470"/>
      <c r="H79" s="470"/>
      <c r="I79" s="480"/>
      <c r="J79" s="425">
        <f>J47+J61</f>
        <v>1947.2408999999998</v>
      </c>
      <c r="L79" s="425">
        <f>L61</f>
        <v>62764</v>
      </c>
      <c r="M79" s="470"/>
      <c r="N79" s="470"/>
      <c r="O79" s="480"/>
      <c r="P79" s="425">
        <f>P61</f>
        <v>127175.96800814477</v>
      </c>
      <c r="R79" s="419">
        <f>R39+R43+R49</f>
        <v>26454</v>
      </c>
      <c r="V79" s="419">
        <f>V39+V43+V49</f>
        <v>61600.74909999999</v>
      </c>
      <c r="X79" s="419">
        <f>X39+X43+X49</f>
        <v>2225</v>
      </c>
      <c r="AB79" s="419">
        <f>AB39+AB43+AB49</f>
        <v>6972.6734</v>
      </c>
      <c r="AD79" s="419"/>
      <c r="AH79" s="419"/>
      <c r="AJ79" s="419"/>
      <c r="AN79" s="419"/>
      <c r="AP79" s="419">
        <f>AP39+AP43+AP49</f>
        <v>47322</v>
      </c>
      <c r="AT79" s="419">
        <f>AT39+AT43+AT49</f>
        <v>113127.4375</v>
      </c>
      <c r="AV79" s="419">
        <f>AV47+AV61</f>
        <v>0</v>
      </c>
      <c r="AZ79" s="419">
        <f>AZ47+AZ61</f>
        <v>0</v>
      </c>
      <c r="BB79" s="419">
        <f>BB36+BB43+BB49</f>
        <v>22686.5</v>
      </c>
      <c r="BF79" s="419">
        <f>BF36+BF43+BF49</f>
        <v>53683.92480000001</v>
      </c>
      <c r="BH79" s="425"/>
      <c r="BI79" s="470"/>
      <c r="BJ79" s="470"/>
      <c r="BK79" s="480"/>
      <c r="BL79" s="425"/>
      <c r="BM79" s="385"/>
      <c r="BN79" s="425"/>
      <c r="BO79" s="470"/>
      <c r="BP79" s="470"/>
      <c r="BQ79" s="480"/>
      <c r="BR79" s="425"/>
      <c r="BS79" s="385"/>
      <c r="BT79" s="425"/>
      <c r="BU79" s="470"/>
      <c r="BV79" s="470"/>
      <c r="BW79" s="480"/>
      <c r="BX79" s="425"/>
    </row>
    <row r="80" spans="3:76" ht="15">
      <c r="C80" s="554" t="s">
        <v>264</v>
      </c>
      <c r="F80" s="425">
        <f>F48+F62</f>
        <v>0</v>
      </c>
      <c r="G80" s="470"/>
      <c r="H80" s="470"/>
      <c r="I80" s="480"/>
      <c r="J80" s="425">
        <f>J48+J62</f>
        <v>0</v>
      </c>
      <c r="L80" s="422">
        <f>L54+L63</f>
        <v>61778</v>
      </c>
      <c r="P80" s="419">
        <f>P54+P63</f>
        <v>142470.6635</v>
      </c>
      <c r="R80" s="419">
        <f>R53+R63</f>
        <v>19106</v>
      </c>
      <c r="V80" s="419">
        <f>V53+V63</f>
        <v>50817.822</v>
      </c>
      <c r="X80" s="419">
        <f>X53+X57+X63</f>
        <v>2284</v>
      </c>
      <c r="AB80" s="419">
        <f>AB53+AB63</f>
        <v>7843.9339</v>
      </c>
      <c r="AD80" s="419"/>
      <c r="AH80" s="419"/>
      <c r="AJ80" s="419"/>
      <c r="AN80" s="419"/>
      <c r="AP80" s="419">
        <f>AP53+AP57+AP63</f>
        <v>42551</v>
      </c>
      <c r="AT80" s="419">
        <f>AT53+AT57+AT63</f>
        <v>114061.376</v>
      </c>
      <c r="AV80" s="419">
        <f>AV48+AV62</f>
        <v>0</v>
      </c>
      <c r="AZ80" s="419">
        <f>AZ48+AZ62</f>
        <v>0</v>
      </c>
      <c r="BB80" s="419">
        <f>BB50+BB63</f>
        <v>23956</v>
      </c>
      <c r="BF80" s="419">
        <f>BF50+BF63</f>
        <v>59151.9753</v>
      </c>
      <c r="BH80" s="425"/>
      <c r="BI80" s="470"/>
      <c r="BJ80" s="470"/>
      <c r="BK80" s="480"/>
      <c r="BL80" s="425"/>
      <c r="BM80" s="385"/>
      <c r="BN80" s="425"/>
      <c r="BO80" s="470"/>
      <c r="BP80" s="470"/>
      <c r="BQ80" s="480"/>
      <c r="BR80" s="425"/>
      <c r="BS80" s="385"/>
      <c r="BT80" s="425"/>
      <c r="BU80" s="470"/>
      <c r="BV80" s="470"/>
      <c r="BW80" s="480"/>
      <c r="BX80" s="425"/>
    </row>
    <row r="81" spans="3:76" ht="23.25">
      <c r="C81" s="554" t="s">
        <v>265</v>
      </c>
      <c r="F81" s="425">
        <f>AVERAGE(F78:F79)</f>
        <v>154</v>
      </c>
      <c r="G81" s="470"/>
      <c r="H81" s="470"/>
      <c r="I81" s="480"/>
      <c r="J81" s="425">
        <f>J79/F79*F81</f>
        <v>1874.21936625</v>
      </c>
      <c r="L81" s="599">
        <f>L80</f>
        <v>61778</v>
      </c>
      <c r="M81" s="600"/>
      <c r="N81" s="600"/>
      <c r="O81" s="601"/>
      <c r="P81" s="599">
        <f>P80</f>
        <v>142470.6635</v>
      </c>
      <c r="Q81" s="602"/>
      <c r="R81" s="603">
        <f>AVERAGE(R78:R80)</f>
        <v>18641.666666666668</v>
      </c>
      <c r="S81" s="600"/>
      <c r="T81" s="604"/>
      <c r="U81" s="601"/>
      <c r="V81" s="603">
        <f>AVERAGE(V78:V80)</f>
        <v>46248.01499999999</v>
      </c>
      <c r="W81" s="602"/>
      <c r="X81" s="603">
        <f>AVERAGE(X78:X80)</f>
        <v>2277.6666666666665</v>
      </c>
      <c r="Y81" s="600"/>
      <c r="Z81" s="600"/>
      <c r="AA81" s="601"/>
      <c r="AB81" s="603">
        <f>AB80/X80*X81</f>
        <v>7822.183353575599</v>
      </c>
      <c r="AC81" s="602"/>
      <c r="AD81" s="603"/>
      <c r="AE81" s="600"/>
      <c r="AF81" s="600"/>
      <c r="AG81" s="601"/>
      <c r="AH81" s="603"/>
      <c r="AI81" s="602"/>
      <c r="AJ81" s="603"/>
      <c r="AK81" s="600"/>
      <c r="AL81" s="600"/>
      <c r="AM81" s="601"/>
      <c r="AN81" s="603"/>
      <c r="AO81" s="602"/>
      <c r="AP81" s="603">
        <f>AP61</f>
        <v>43375</v>
      </c>
      <c r="AQ81" s="600"/>
      <c r="AR81" s="600"/>
      <c r="AS81" s="601"/>
      <c r="AT81" s="603">
        <f>AT61</f>
        <v>104706.81759999998</v>
      </c>
      <c r="AU81" s="602"/>
      <c r="AV81" s="599">
        <f>150*4100*1.1/1000</f>
        <v>676.5</v>
      </c>
      <c r="AW81" s="600"/>
      <c r="AX81" s="600"/>
      <c r="AY81" s="601"/>
      <c r="AZ81" s="599">
        <f>AV81*AT82</f>
        <v>1633.064256055331</v>
      </c>
      <c r="BA81" s="602"/>
      <c r="BB81" s="603">
        <f>BB61</f>
        <v>22768.1</v>
      </c>
      <c r="BC81" s="600"/>
      <c r="BD81" s="600"/>
      <c r="BE81" s="601"/>
      <c r="BF81" s="603">
        <f>BF79/BB79*BB81</f>
        <v>53877.01797275384</v>
      </c>
      <c r="BH81" s="555"/>
      <c r="BI81" s="470"/>
      <c r="BJ81" s="470"/>
      <c r="BK81" s="480"/>
      <c r="BL81" s="555"/>
      <c r="BM81" s="385"/>
      <c r="BN81" s="555"/>
      <c r="BO81" s="470"/>
      <c r="BP81" s="470"/>
      <c r="BQ81" s="480"/>
      <c r="BR81" s="555"/>
      <c r="BS81" s="385"/>
      <c r="BT81" s="555"/>
      <c r="BU81" s="470"/>
      <c r="BV81" s="470"/>
      <c r="BW81" s="480"/>
      <c r="BX81" s="555"/>
    </row>
    <row r="82" spans="15:76" ht="18.75">
      <c r="O82" s="556" t="s">
        <v>266</v>
      </c>
      <c r="P82" s="557">
        <f>P81/L81</f>
        <v>2.3061715092751465</v>
      </c>
      <c r="Q82" s="421"/>
      <c r="R82" s="558"/>
      <c r="U82" s="556" t="s">
        <v>266</v>
      </c>
      <c r="V82" s="557">
        <f>V81/R81</f>
        <v>2.4808948591864097</v>
      </c>
      <c r="W82" s="421"/>
      <c r="AA82" s="556" t="s">
        <v>266</v>
      </c>
      <c r="AB82" s="557">
        <f>AB81/X81</f>
        <v>3.43429680385289</v>
      </c>
      <c r="AC82" s="421" t="s">
        <v>266</v>
      </c>
      <c r="AS82" s="556" t="s">
        <v>266</v>
      </c>
      <c r="AT82" s="557">
        <f>AT81/AP81</f>
        <v>2.4139900311239186</v>
      </c>
      <c r="AU82" s="421" t="s">
        <v>266</v>
      </c>
      <c r="AY82" s="556" t="s">
        <v>266</v>
      </c>
      <c r="AZ82" s="557">
        <f>AZ81/AV81</f>
        <v>2.4139900311239186</v>
      </c>
      <c r="BA82" s="421" t="s">
        <v>266</v>
      </c>
      <c r="BE82" s="556" t="s">
        <v>266</v>
      </c>
      <c r="BF82" s="557">
        <f>BF81/BB81</f>
        <v>2.366337901395103</v>
      </c>
      <c r="BG82" s="421"/>
      <c r="BH82" s="470"/>
      <c r="BI82" s="470"/>
      <c r="BJ82" s="470"/>
      <c r="BK82" s="480"/>
      <c r="BL82" s="559"/>
      <c r="BM82" s="385"/>
      <c r="BN82" s="470"/>
      <c r="BO82" s="470"/>
      <c r="BP82" s="470"/>
      <c r="BQ82" s="480"/>
      <c r="BR82" s="559"/>
      <c r="BS82" s="385"/>
      <c r="BT82" s="470"/>
      <c r="BU82" s="470"/>
      <c r="BV82" s="470"/>
      <c r="BW82" s="480"/>
      <c r="BX82" s="559"/>
    </row>
    <row r="83" spans="58:76" ht="15">
      <c r="BF83" s="357"/>
      <c r="BG83" s="421"/>
      <c r="BH83" s="470"/>
      <c r="BI83" s="470"/>
      <c r="BJ83" s="470"/>
      <c r="BK83" s="480"/>
      <c r="BL83" s="559"/>
      <c r="BM83" s="385"/>
      <c r="BN83" s="470"/>
      <c r="BO83" s="470"/>
      <c r="BP83" s="470"/>
      <c r="BQ83" s="480"/>
      <c r="BR83" s="559"/>
      <c r="BS83" s="385"/>
      <c r="BT83" s="470"/>
      <c r="BU83" s="470"/>
      <c r="BV83" s="470"/>
      <c r="BW83" s="480"/>
      <c r="BX83" s="559"/>
    </row>
    <row r="84" spans="3:76" ht="19.5" customHeight="1">
      <c r="C84" s="560" t="s">
        <v>267</v>
      </c>
      <c r="D84" s="361"/>
      <c r="E84" s="361"/>
      <c r="L84" s="561">
        <f>L81+R81+X81+AP81+AV81+BB81</f>
        <v>149516.93333333335</v>
      </c>
      <c r="M84" s="561"/>
      <c r="N84" s="561"/>
      <c r="O84" s="561"/>
      <c r="P84" s="561">
        <f>P81+V81+AB81+AT81+AZ81+BF81</f>
        <v>356757.7616823847</v>
      </c>
      <c r="BB84" s="357"/>
      <c r="BC84" s="357"/>
      <c r="BD84" s="357"/>
      <c r="BE84" s="357"/>
      <c r="BF84" s="357"/>
      <c r="BH84" s="562"/>
      <c r="BI84" s="562"/>
      <c r="BJ84" s="562"/>
      <c r="BK84" s="562"/>
      <c r="BL84" s="562"/>
      <c r="BM84" s="385"/>
      <c r="BN84" s="562"/>
      <c r="BO84" s="562"/>
      <c r="BP84" s="562"/>
      <c r="BQ84" s="562"/>
      <c r="BR84" s="562"/>
      <c r="BS84" s="385"/>
      <c r="BT84" s="562"/>
      <c r="BU84" s="562"/>
      <c r="BV84" s="562"/>
      <c r="BW84" s="562"/>
      <c r="BX84" s="562"/>
    </row>
    <row r="85" spans="15:58" ht="15">
      <c r="O85" s="556" t="s">
        <v>266</v>
      </c>
      <c r="P85" s="557">
        <f>P84/L84</f>
        <v>2.3860692814440503</v>
      </c>
      <c r="BB85" s="357"/>
      <c r="BC85" s="357"/>
      <c r="BD85" s="357"/>
      <c r="BE85" s="357"/>
      <c r="BF85" s="357"/>
    </row>
  </sheetData>
  <mergeCells count="469">
    <mergeCell ref="AP2:AS2"/>
    <mergeCell ref="AV2:AY2"/>
    <mergeCell ref="BB2:BE2"/>
    <mergeCell ref="BH2:BK2"/>
    <mergeCell ref="BN2:BQ2"/>
    <mergeCell ref="BT2:BW2"/>
    <mergeCell ref="F2:I2"/>
    <mergeCell ref="L2:O2"/>
    <mergeCell ref="R2:U2"/>
    <mergeCell ref="X2:AA2"/>
    <mergeCell ref="AD2:AG2"/>
    <mergeCell ref="AJ2:AM2"/>
    <mergeCell ref="AP3:AS3"/>
    <mergeCell ref="AV3:AY3"/>
    <mergeCell ref="BB3:BE3"/>
    <mergeCell ref="BH3:BK3"/>
    <mergeCell ref="BN3:BQ3"/>
    <mergeCell ref="BT3:BW3"/>
    <mergeCell ref="F3:I3"/>
    <mergeCell ref="L3:O3"/>
    <mergeCell ref="R3:U3"/>
    <mergeCell ref="X3:AA3"/>
    <mergeCell ref="AD3:AG3"/>
    <mergeCell ref="AJ3:AM3"/>
    <mergeCell ref="AP4:AS4"/>
    <mergeCell ref="AV4:AY4"/>
    <mergeCell ref="BB4:BE4"/>
    <mergeCell ref="BH4:BK4"/>
    <mergeCell ref="BN4:BQ4"/>
    <mergeCell ref="BT4:BW4"/>
    <mergeCell ref="F4:I4"/>
    <mergeCell ref="L4:O4"/>
    <mergeCell ref="R4:U4"/>
    <mergeCell ref="X4:AA4"/>
    <mergeCell ref="AD4:AG4"/>
    <mergeCell ref="AJ4:AM4"/>
    <mergeCell ref="L21:L32"/>
    <mergeCell ref="M21:M32"/>
    <mergeCell ref="N21:N32"/>
    <mergeCell ref="O21:O32"/>
    <mergeCell ref="P21:P32"/>
    <mergeCell ref="R21:R32"/>
    <mergeCell ref="B5:B6"/>
    <mergeCell ref="F21:F32"/>
    <mergeCell ref="G21:G32"/>
    <mergeCell ref="H21:H32"/>
    <mergeCell ref="I21:I32"/>
    <mergeCell ref="J21:J32"/>
    <mergeCell ref="AA21:AA32"/>
    <mergeCell ref="AB21:AB32"/>
    <mergeCell ref="AD21:AD32"/>
    <mergeCell ref="AE21:AE32"/>
    <mergeCell ref="AF21:AF32"/>
    <mergeCell ref="S21:S32"/>
    <mergeCell ref="T21:T32"/>
    <mergeCell ref="U21:U32"/>
    <mergeCell ref="V21:V32"/>
    <mergeCell ref="X21:X32"/>
    <mergeCell ref="Y21:Y32"/>
    <mergeCell ref="F35:F38"/>
    <mergeCell ref="G35:G38"/>
    <mergeCell ref="H35:H38"/>
    <mergeCell ref="I35:I38"/>
    <mergeCell ref="J35:J38"/>
    <mergeCell ref="L35:L38"/>
    <mergeCell ref="M35:M38"/>
    <mergeCell ref="N35:N38"/>
    <mergeCell ref="BP21:BP32"/>
    <mergeCell ref="BI21:BI32"/>
    <mergeCell ref="BJ21:BJ32"/>
    <mergeCell ref="BK21:BK32"/>
    <mergeCell ref="BL21:BL32"/>
    <mergeCell ref="BN21:BN32"/>
    <mergeCell ref="BO21:BO32"/>
    <mergeCell ref="BB21:BB32"/>
    <mergeCell ref="BC21:BC32"/>
    <mergeCell ref="BD21:BD32"/>
    <mergeCell ref="BE21:BE32"/>
    <mergeCell ref="BF21:BF32"/>
    <mergeCell ref="BH21:BH32"/>
    <mergeCell ref="AN21:AN32"/>
    <mergeCell ref="AP21:AP32"/>
    <mergeCell ref="AQ21:AQ32"/>
    <mergeCell ref="AB35:AB38"/>
    <mergeCell ref="O35:O38"/>
    <mergeCell ref="P35:P38"/>
    <mergeCell ref="R35:R38"/>
    <mergeCell ref="S35:S38"/>
    <mergeCell ref="T35:T38"/>
    <mergeCell ref="U35:U38"/>
    <mergeCell ref="BW21:BW32"/>
    <mergeCell ref="BX21:BX32"/>
    <mergeCell ref="BQ21:BQ32"/>
    <mergeCell ref="BR21:BR32"/>
    <mergeCell ref="BT21:BT32"/>
    <mergeCell ref="BU21:BU32"/>
    <mergeCell ref="BV21:BV32"/>
    <mergeCell ref="AR21:AR32"/>
    <mergeCell ref="AS21:AS32"/>
    <mergeCell ref="AT21:AT32"/>
    <mergeCell ref="AG21:AG32"/>
    <mergeCell ref="AH21:AH32"/>
    <mergeCell ref="AJ21:AJ32"/>
    <mergeCell ref="AK21:AK32"/>
    <mergeCell ref="AL21:AL32"/>
    <mergeCell ref="AM21:AM32"/>
    <mergeCell ref="Z21:Z32"/>
    <mergeCell ref="BH35:BH38"/>
    <mergeCell ref="BI35:BI38"/>
    <mergeCell ref="BJ35:BJ38"/>
    <mergeCell ref="BB36:BB42"/>
    <mergeCell ref="BC36:BC42"/>
    <mergeCell ref="BD36:BD42"/>
    <mergeCell ref="BE36:BE42"/>
    <mergeCell ref="AK35:AK38"/>
    <mergeCell ref="AL35:AL38"/>
    <mergeCell ref="AM35:AM38"/>
    <mergeCell ref="AN35:AN38"/>
    <mergeCell ref="AP35:AP38"/>
    <mergeCell ref="AQ35:AQ38"/>
    <mergeCell ref="BR35:BR38"/>
    <mergeCell ref="BT35:BT38"/>
    <mergeCell ref="BU35:BU38"/>
    <mergeCell ref="BV35:BV38"/>
    <mergeCell ref="BW35:BW38"/>
    <mergeCell ref="BX35:BX38"/>
    <mergeCell ref="BK35:BK38"/>
    <mergeCell ref="BL35:BL38"/>
    <mergeCell ref="BN35:BN38"/>
    <mergeCell ref="BO35:BO38"/>
    <mergeCell ref="BP35:BP38"/>
    <mergeCell ref="BQ35:BQ38"/>
    <mergeCell ref="BF36:BF42"/>
    <mergeCell ref="F39:F42"/>
    <mergeCell ref="G39:G42"/>
    <mergeCell ref="H39:H42"/>
    <mergeCell ref="I39:I42"/>
    <mergeCell ref="J39:J42"/>
    <mergeCell ref="L39:L42"/>
    <mergeCell ref="M39:M42"/>
    <mergeCell ref="N39:N42"/>
    <mergeCell ref="O39:O42"/>
    <mergeCell ref="AR35:AR38"/>
    <mergeCell ref="AS35:AS38"/>
    <mergeCell ref="AT35:AT38"/>
    <mergeCell ref="AD35:AD38"/>
    <mergeCell ref="AE35:AE38"/>
    <mergeCell ref="AF35:AF38"/>
    <mergeCell ref="AG35:AG38"/>
    <mergeCell ref="AH35:AH38"/>
    <mergeCell ref="AJ35:AJ38"/>
    <mergeCell ref="V35:V38"/>
    <mergeCell ref="X35:X38"/>
    <mergeCell ref="Y35:Y38"/>
    <mergeCell ref="Z35:Z38"/>
    <mergeCell ref="AA35:AA38"/>
    <mergeCell ref="X39:X42"/>
    <mergeCell ref="Y39:Y42"/>
    <mergeCell ref="Z39:Z42"/>
    <mergeCell ref="AA39:AA42"/>
    <mergeCell ref="AB39:AB42"/>
    <mergeCell ref="AD39:AD42"/>
    <mergeCell ref="P39:P42"/>
    <mergeCell ref="R39:R42"/>
    <mergeCell ref="S39:S42"/>
    <mergeCell ref="T39:T42"/>
    <mergeCell ref="U39:U42"/>
    <mergeCell ref="V39:V42"/>
    <mergeCell ref="AN39:AN42"/>
    <mergeCell ref="AP39:AP42"/>
    <mergeCell ref="AQ39:AQ42"/>
    <mergeCell ref="AR39:AR42"/>
    <mergeCell ref="AE39:AE42"/>
    <mergeCell ref="AF39:AF42"/>
    <mergeCell ref="AG39:AG42"/>
    <mergeCell ref="AH39:AH42"/>
    <mergeCell ref="AJ39:AJ42"/>
    <mergeCell ref="AK39:AK42"/>
    <mergeCell ref="BT39:BT42"/>
    <mergeCell ref="BU39:BU42"/>
    <mergeCell ref="BV39:BV42"/>
    <mergeCell ref="BW39:BW42"/>
    <mergeCell ref="BX39:BX42"/>
    <mergeCell ref="F43:F46"/>
    <mergeCell ref="G43:G46"/>
    <mergeCell ref="H43:H46"/>
    <mergeCell ref="I43:I46"/>
    <mergeCell ref="J43:J46"/>
    <mergeCell ref="BL39:BL42"/>
    <mergeCell ref="BN39:BN42"/>
    <mergeCell ref="BO39:BO42"/>
    <mergeCell ref="BP39:BP42"/>
    <mergeCell ref="BQ39:BQ42"/>
    <mergeCell ref="BR39:BR42"/>
    <mergeCell ref="AS39:AS42"/>
    <mergeCell ref="AT39:AT42"/>
    <mergeCell ref="BH39:BH42"/>
    <mergeCell ref="BI39:BI42"/>
    <mergeCell ref="BJ39:BJ42"/>
    <mergeCell ref="BK39:BK42"/>
    <mergeCell ref="AL39:AL42"/>
    <mergeCell ref="AM39:AM42"/>
    <mergeCell ref="S43:S46"/>
    <mergeCell ref="T43:T46"/>
    <mergeCell ref="U43:U46"/>
    <mergeCell ref="V43:V46"/>
    <mergeCell ref="X43:X46"/>
    <mergeCell ref="Y43:Y46"/>
    <mergeCell ref="L43:L46"/>
    <mergeCell ref="M43:M46"/>
    <mergeCell ref="N43:N46"/>
    <mergeCell ref="O43:O46"/>
    <mergeCell ref="P43:P46"/>
    <mergeCell ref="R43:R46"/>
    <mergeCell ref="AG43:AG46"/>
    <mergeCell ref="AH43:AH46"/>
    <mergeCell ref="AJ43:AJ46"/>
    <mergeCell ref="AK43:AK46"/>
    <mergeCell ref="AL43:AL46"/>
    <mergeCell ref="AM43:AM46"/>
    <mergeCell ref="Z43:Z46"/>
    <mergeCell ref="AA43:AA46"/>
    <mergeCell ref="AB43:AB46"/>
    <mergeCell ref="AD43:AD46"/>
    <mergeCell ref="AE43:AE46"/>
    <mergeCell ref="AF43:AF46"/>
    <mergeCell ref="BD43:BD46"/>
    <mergeCell ref="BE43:BE46"/>
    <mergeCell ref="BF43:BF46"/>
    <mergeCell ref="BH43:BH46"/>
    <mergeCell ref="AN43:AN46"/>
    <mergeCell ref="AP43:AP46"/>
    <mergeCell ref="AQ43:AQ46"/>
    <mergeCell ref="AR43:AR46"/>
    <mergeCell ref="AS43:AS46"/>
    <mergeCell ref="AT43:AT46"/>
    <mergeCell ref="BW43:BW46"/>
    <mergeCell ref="BX43:BX46"/>
    <mergeCell ref="F49:F52"/>
    <mergeCell ref="G49:G52"/>
    <mergeCell ref="H49:H52"/>
    <mergeCell ref="I49:I52"/>
    <mergeCell ref="J49:J52"/>
    <mergeCell ref="L49:L53"/>
    <mergeCell ref="M49:M53"/>
    <mergeCell ref="N49:N53"/>
    <mergeCell ref="BP43:BP46"/>
    <mergeCell ref="BQ43:BQ46"/>
    <mergeCell ref="BR43:BR46"/>
    <mergeCell ref="BT43:BT46"/>
    <mergeCell ref="BU43:BU46"/>
    <mergeCell ref="BV43:BV46"/>
    <mergeCell ref="BI43:BI46"/>
    <mergeCell ref="BJ43:BJ46"/>
    <mergeCell ref="BK43:BK46"/>
    <mergeCell ref="BL43:BL46"/>
    <mergeCell ref="BN43:BN46"/>
    <mergeCell ref="BO43:BO46"/>
    <mergeCell ref="BB43:BB46"/>
    <mergeCell ref="BC43:BC46"/>
    <mergeCell ref="V49:V52"/>
    <mergeCell ref="X49:X52"/>
    <mergeCell ref="Y49:Y52"/>
    <mergeCell ref="Z49:Z52"/>
    <mergeCell ref="AA49:AA52"/>
    <mergeCell ref="AB49:AB52"/>
    <mergeCell ref="O49:O53"/>
    <mergeCell ref="P49:P53"/>
    <mergeCell ref="R49:R52"/>
    <mergeCell ref="S49:S52"/>
    <mergeCell ref="T49:T52"/>
    <mergeCell ref="U49:U52"/>
    <mergeCell ref="BH49:BH52"/>
    <mergeCell ref="BI49:BI52"/>
    <mergeCell ref="BJ49:BJ52"/>
    <mergeCell ref="BB50:BB60"/>
    <mergeCell ref="BC50:BC60"/>
    <mergeCell ref="BD50:BD60"/>
    <mergeCell ref="BE50:BE60"/>
    <mergeCell ref="AK49:AK52"/>
    <mergeCell ref="AL49:AL52"/>
    <mergeCell ref="AM49:AM52"/>
    <mergeCell ref="AN49:AN52"/>
    <mergeCell ref="AP49:AP52"/>
    <mergeCell ref="AQ49:AQ52"/>
    <mergeCell ref="BR49:BR52"/>
    <mergeCell ref="BT49:BT52"/>
    <mergeCell ref="BU49:BU52"/>
    <mergeCell ref="BV49:BV52"/>
    <mergeCell ref="BW49:BW52"/>
    <mergeCell ref="BX49:BX52"/>
    <mergeCell ref="BK49:BK52"/>
    <mergeCell ref="BL49:BL52"/>
    <mergeCell ref="BN49:BN52"/>
    <mergeCell ref="BO49:BO52"/>
    <mergeCell ref="BP49:BP52"/>
    <mergeCell ref="BQ49:BQ52"/>
    <mergeCell ref="AP53:AP56"/>
    <mergeCell ref="AQ53:AQ56"/>
    <mergeCell ref="AR53:AR56"/>
    <mergeCell ref="AS53:AS60"/>
    <mergeCell ref="AT53:AT60"/>
    <mergeCell ref="BF50:BF60"/>
    <mergeCell ref="R53:R60"/>
    <mergeCell ref="S53:S60"/>
    <mergeCell ref="T53:T60"/>
    <mergeCell ref="U53:U60"/>
    <mergeCell ref="V53:V60"/>
    <mergeCell ref="X53:X56"/>
    <mergeCell ref="Y53:Y56"/>
    <mergeCell ref="Z53:Z56"/>
    <mergeCell ref="AA53:AA60"/>
    <mergeCell ref="AR49:AR52"/>
    <mergeCell ref="AS49:AS52"/>
    <mergeCell ref="AT49:AT52"/>
    <mergeCell ref="AD49:AD52"/>
    <mergeCell ref="AE49:AE52"/>
    <mergeCell ref="AF49:AF52"/>
    <mergeCell ref="AG49:AG52"/>
    <mergeCell ref="AH49:AH52"/>
    <mergeCell ref="AJ49:AJ52"/>
    <mergeCell ref="BV53:BV56"/>
    <mergeCell ref="BW53:BW60"/>
    <mergeCell ref="BX53:BX60"/>
    <mergeCell ref="L54:L60"/>
    <mergeCell ref="M54:M60"/>
    <mergeCell ref="N54:N60"/>
    <mergeCell ref="O54:O60"/>
    <mergeCell ref="P54:P60"/>
    <mergeCell ref="X57:X60"/>
    <mergeCell ref="Y57:Y60"/>
    <mergeCell ref="BO53:BO60"/>
    <mergeCell ref="BP53:BP60"/>
    <mergeCell ref="BQ53:BQ60"/>
    <mergeCell ref="BR53:BR60"/>
    <mergeCell ref="BT53:BT56"/>
    <mergeCell ref="BU53:BU56"/>
    <mergeCell ref="BT57:BT60"/>
    <mergeCell ref="BU57:BU60"/>
    <mergeCell ref="BH53:BH56"/>
    <mergeCell ref="BI53:BI56"/>
    <mergeCell ref="BJ53:BJ56"/>
    <mergeCell ref="BK53:BK60"/>
    <mergeCell ref="BL53:BL60"/>
    <mergeCell ref="BN53:BN60"/>
    <mergeCell ref="AA63:AA66"/>
    <mergeCell ref="AB63:AB66"/>
    <mergeCell ref="X67:X70"/>
    <mergeCell ref="Y67:Y70"/>
    <mergeCell ref="Z67:Z70"/>
    <mergeCell ref="AA67:AA70"/>
    <mergeCell ref="BV57:BV60"/>
    <mergeCell ref="L63:L67"/>
    <mergeCell ref="M63:M67"/>
    <mergeCell ref="N63:N67"/>
    <mergeCell ref="O63:O67"/>
    <mergeCell ref="P63:P67"/>
    <mergeCell ref="R63:R67"/>
    <mergeCell ref="S63:S67"/>
    <mergeCell ref="T63:T67"/>
    <mergeCell ref="U63:U67"/>
    <mergeCell ref="Z57:Z60"/>
    <mergeCell ref="AP57:AP60"/>
    <mergeCell ref="AQ57:AQ60"/>
    <mergeCell ref="AR57:AR60"/>
    <mergeCell ref="BH57:BH60"/>
    <mergeCell ref="BI57:BI60"/>
    <mergeCell ref="BJ57:BJ60"/>
    <mergeCell ref="AB53:AB60"/>
    <mergeCell ref="AX63:AX67"/>
    <mergeCell ref="AY63:AY67"/>
    <mergeCell ref="AZ63:AZ67"/>
    <mergeCell ref="BB63:BB67"/>
    <mergeCell ref="BC63:BC67"/>
    <mergeCell ref="AP63:AP66"/>
    <mergeCell ref="AQ63:AQ66"/>
    <mergeCell ref="AR63:AR66"/>
    <mergeCell ref="AS63:AS66"/>
    <mergeCell ref="AT63:AT66"/>
    <mergeCell ref="AV63:AV67"/>
    <mergeCell ref="BD63:BD67"/>
    <mergeCell ref="BE63:BE67"/>
    <mergeCell ref="BF63:BF67"/>
    <mergeCell ref="BH63:BH66"/>
    <mergeCell ref="BI63:BI66"/>
    <mergeCell ref="BJ63:BJ66"/>
    <mergeCell ref="BH67:BH70"/>
    <mergeCell ref="BI67:BI70"/>
    <mergeCell ref="BJ67:BJ70"/>
    <mergeCell ref="BE68:BE74"/>
    <mergeCell ref="BR63:BR66"/>
    <mergeCell ref="BT63:BT66"/>
    <mergeCell ref="BU63:BU66"/>
    <mergeCell ref="BV63:BV66"/>
    <mergeCell ref="BW63:BW66"/>
    <mergeCell ref="BX63:BX66"/>
    <mergeCell ref="BK63:BK66"/>
    <mergeCell ref="BL63:BL66"/>
    <mergeCell ref="BN63:BN66"/>
    <mergeCell ref="BO63:BO66"/>
    <mergeCell ref="BP63:BP66"/>
    <mergeCell ref="BQ63:BQ66"/>
    <mergeCell ref="BR67:BR70"/>
    <mergeCell ref="BT67:BT70"/>
    <mergeCell ref="BU67:BU70"/>
    <mergeCell ref="BV67:BV70"/>
    <mergeCell ref="BW67:BW70"/>
    <mergeCell ref="BX67:BX70"/>
    <mergeCell ref="BK67:BK70"/>
    <mergeCell ref="BL67:BL70"/>
    <mergeCell ref="BN67:BN70"/>
    <mergeCell ref="BO67:BO70"/>
    <mergeCell ref="BP67:BP70"/>
    <mergeCell ref="BQ67:BQ70"/>
    <mergeCell ref="S68:S74"/>
    <mergeCell ref="T68:T74"/>
    <mergeCell ref="U68:U74"/>
    <mergeCell ref="V68:V74"/>
    <mergeCell ref="AV68:AV74"/>
    <mergeCell ref="AW68:AW74"/>
    <mergeCell ref="AT71:AT74"/>
    <mergeCell ref="L68:L74"/>
    <mergeCell ref="M68:M74"/>
    <mergeCell ref="N68:N74"/>
    <mergeCell ref="O68:O74"/>
    <mergeCell ref="P68:P74"/>
    <mergeCell ref="R68:R74"/>
    <mergeCell ref="AB67:AB70"/>
    <mergeCell ref="AP67:AP70"/>
    <mergeCell ref="AQ67:AQ70"/>
    <mergeCell ref="AR67:AR70"/>
    <mergeCell ref="AS67:AS70"/>
    <mergeCell ref="AT67:AT70"/>
    <mergeCell ref="AW63:AW67"/>
    <mergeCell ref="V63:V67"/>
    <mergeCell ref="X63:X66"/>
    <mergeCell ref="Y63:Y66"/>
    <mergeCell ref="Z63:Z66"/>
    <mergeCell ref="BH71:BH74"/>
    <mergeCell ref="BI71:BI74"/>
    <mergeCell ref="BJ71:BJ74"/>
    <mergeCell ref="BK71:BK74"/>
    <mergeCell ref="BL71:BL74"/>
    <mergeCell ref="BN71:BN74"/>
    <mergeCell ref="BF68:BF74"/>
    <mergeCell ref="X71:X74"/>
    <mergeCell ref="Y71:Y74"/>
    <mergeCell ref="Z71:Z74"/>
    <mergeCell ref="AA71:AA74"/>
    <mergeCell ref="AB71:AB74"/>
    <mergeCell ref="AP71:AP74"/>
    <mergeCell ref="AQ71:AQ74"/>
    <mergeCell ref="AR71:AR74"/>
    <mergeCell ref="AS71:AS74"/>
    <mergeCell ref="AX68:AX74"/>
    <mergeCell ref="AY68:AY74"/>
    <mergeCell ref="AZ68:AZ74"/>
    <mergeCell ref="BB68:BB74"/>
    <mergeCell ref="BC68:BC74"/>
    <mergeCell ref="BD68:BD74"/>
    <mergeCell ref="BV71:BV74"/>
    <mergeCell ref="BW71:BW74"/>
    <mergeCell ref="BX71:BX74"/>
    <mergeCell ref="BO71:BO74"/>
    <mergeCell ref="BP71:BP74"/>
    <mergeCell ref="BQ71:BQ74"/>
    <mergeCell ref="BR71:BR74"/>
    <mergeCell ref="BT71:BT74"/>
    <mergeCell ref="BU71:BU74"/>
  </mergeCells>
  <conditionalFormatting sqref="BB7:BD18">
    <cfRule type="cellIs" priority="38" dxfId="0" operator="greaterThan">
      <formula>0</formula>
    </cfRule>
  </conditionalFormatting>
  <conditionalFormatting sqref="AD7:AF18">
    <cfRule type="cellIs" priority="36" dxfId="0" operator="greaterThan">
      <formula>0</formula>
    </cfRule>
  </conditionalFormatting>
  <conditionalFormatting sqref="X7:Z18">
    <cfRule type="cellIs" priority="37" dxfId="0" operator="greaterThan">
      <formula>0</formula>
    </cfRule>
  </conditionalFormatting>
  <conditionalFormatting sqref="BD19">
    <cfRule type="cellIs" priority="35" dxfId="0" operator="greaterThan">
      <formula>0</formula>
    </cfRule>
  </conditionalFormatting>
  <conditionalFormatting sqref="Z19">
    <cfRule type="cellIs" priority="34" dxfId="0" operator="greaterThan">
      <formula>0</formula>
    </cfRule>
  </conditionalFormatting>
  <conditionalFormatting sqref="AL19">
    <cfRule type="cellIs" priority="31" dxfId="0" operator="greaterThan">
      <formula>0</formula>
    </cfRule>
  </conditionalFormatting>
  <conditionalFormatting sqref="AF19">
    <cfRule type="cellIs" priority="33" dxfId="0" operator="greaterThan">
      <formula>0</formula>
    </cfRule>
  </conditionalFormatting>
  <conditionalFormatting sqref="AJ7:AL18">
    <cfRule type="cellIs" priority="32" dxfId="0" operator="greaterThan">
      <formula>0</formula>
    </cfRule>
  </conditionalFormatting>
  <conditionalFormatting sqref="AP7:AR18">
    <cfRule type="cellIs" priority="30" dxfId="0" operator="greaterThan">
      <formula>0</formula>
    </cfRule>
  </conditionalFormatting>
  <conditionalFormatting sqref="AR19">
    <cfRule type="cellIs" priority="29" dxfId="0" operator="greaterThan">
      <formula>0</formula>
    </cfRule>
  </conditionalFormatting>
  <conditionalFormatting sqref="F7:H18">
    <cfRule type="cellIs" priority="28" dxfId="0" operator="greaterThan">
      <formula>0</formula>
    </cfRule>
  </conditionalFormatting>
  <conditionalFormatting sqref="F53:G60">
    <cfRule type="cellIs" priority="27" dxfId="0" operator="greaterThan">
      <formula>0</formula>
    </cfRule>
  </conditionalFormatting>
  <conditionalFormatting sqref="H53:H60">
    <cfRule type="cellIs" priority="26" dxfId="0" operator="greaterThan">
      <formula>0</formula>
    </cfRule>
  </conditionalFormatting>
  <conditionalFormatting sqref="H19">
    <cfRule type="cellIs" priority="25" dxfId="0" operator="greaterThan">
      <formula>0</formula>
    </cfRule>
  </conditionalFormatting>
  <conditionalFormatting sqref="H33">
    <cfRule type="cellIs" priority="24" dxfId="0" operator="greaterThan">
      <formula>0</formula>
    </cfRule>
  </conditionalFormatting>
  <conditionalFormatting sqref="H61">
    <cfRule type="cellIs" priority="23" dxfId="0" operator="greaterThan">
      <formula>0</formula>
    </cfRule>
  </conditionalFormatting>
  <conditionalFormatting sqref="F43">
    <cfRule type="cellIs" priority="22" dxfId="0" operator="greaterThan">
      <formula>0</formula>
    </cfRule>
  </conditionalFormatting>
  <conditionalFormatting sqref="H43">
    <cfRule type="cellIs" priority="21" dxfId="0" operator="greaterThan">
      <formula>0</formula>
    </cfRule>
  </conditionalFormatting>
  <conditionalFormatting sqref="G43">
    <cfRule type="cellIs" priority="20" dxfId="0" operator="greaterThan">
      <formula>0</formula>
    </cfRule>
  </conditionalFormatting>
  <conditionalFormatting sqref="F49:G49">
    <cfRule type="cellIs" priority="19" dxfId="0" operator="greaterThan">
      <formula>0</formula>
    </cfRule>
  </conditionalFormatting>
  <conditionalFormatting sqref="H49">
    <cfRule type="cellIs" priority="18" dxfId="0" operator="greaterThan">
      <formula>0</formula>
    </cfRule>
  </conditionalFormatting>
  <conditionalFormatting sqref="F39:H39">
    <cfRule type="cellIs" priority="17" dxfId="0" operator="greaterThan">
      <formula>0</formula>
    </cfRule>
  </conditionalFormatting>
  <conditionalFormatting sqref="G21">
    <cfRule type="cellIs" priority="16" dxfId="0" operator="greaterThan">
      <formula>0</formula>
    </cfRule>
  </conditionalFormatting>
  <conditionalFormatting sqref="H21">
    <cfRule type="cellIs" priority="15" dxfId="0" operator="greaterThan">
      <formula>0</formula>
    </cfRule>
  </conditionalFormatting>
  <conditionalFormatting sqref="F21">
    <cfRule type="cellIs" priority="14" dxfId="0" operator="greaterThan">
      <formula>0</formula>
    </cfRule>
  </conditionalFormatting>
  <conditionalFormatting sqref="F35:H35">
    <cfRule type="cellIs" priority="13" dxfId="0" operator="greaterThan">
      <formula>0</formula>
    </cfRule>
  </conditionalFormatting>
  <conditionalFormatting sqref="L7:N18">
    <cfRule type="cellIs" priority="12" dxfId="0" operator="greaterThan">
      <formula>0</formula>
    </cfRule>
  </conditionalFormatting>
  <conditionalFormatting sqref="N19">
    <cfRule type="cellIs" priority="11" dxfId="0" operator="greaterThan">
      <formula>0</formula>
    </cfRule>
  </conditionalFormatting>
  <conditionalFormatting sqref="R7:T18">
    <cfRule type="cellIs" priority="10" dxfId="0" operator="greaterThan">
      <formula>0</formula>
    </cfRule>
  </conditionalFormatting>
  <conditionalFormatting sqref="T19">
    <cfRule type="cellIs" priority="9" dxfId="0" operator="greaterThan">
      <formula>0</formula>
    </cfRule>
  </conditionalFormatting>
  <conditionalFormatting sqref="AV7:AX18">
    <cfRule type="cellIs" priority="8" dxfId="0" operator="greaterThan">
      <formula>0</formula>
    </cfRule>
  </conditionalFormatting>
  <conditionalFormatting sqref="AX19">
    <cfRule type="cellIs" priority="7" dxfId="0" operator="greaterThan">
      <formula>0</formula>
    </cfRule>
  </conditionalFormatting>
  <conditionalFormatting sqref="BH7:BJ18">
    <cfRule type="cellIs" priority="6" dxfId="0" operator="greaterThan">
      <formula>0</formula>
    </cfRule>
  </conditionalFormatting>
  <conditionalFormatting sqref="BJ19">
    <cfRule type="cellIs" priority="5" dxfId="0" operator="greaterThan">
      <formula>0</formula>
    </cfRule>
  </conditionalFormatting>
  <conditionalFormatting sqref="BN7:BP18">
    <cfRule type="cellIs" priority="4" dxfId="0" operator="greaterThan">
      <formula>0</formula>
    </cfRule>
  </conditionalFormatting>
  <conditionalFormatting sqref="BP19">
    <cfRule type="cellIs" priority="3" dxfId="0" operator="greaterThan">
      <formula>0</formula>
    </cfRule>
  </conditionalFormatting>
  <conditionalFormatting sqref="BT7:BV18">
    <cfRule type="cellIs" priority="2" dxfId="0" operator="greaterThan">
      <formula>0</formula>
    </cfRule>
  </conditionalFormatting>
  <conditionalFormatting sqref="BV19">
    <cfRule type="cellIs" priority="1" dxfId="0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Kristína Šislingová</dc:creator>
  <cp:keywords/>
  <dc:description/>
  <cp:lastModifiedBy>Jiří Mazáček</cp:lastModifiedBy>
  <cp:lastPrinted>2019-07-31T12:36:22Z</cp:lastPrinted>
  <dcterms:created xsi:type="dcterms:W3CDTF">2015-11-02T08:48:42Z</dcterms:created>
  <dcterms:modified xsi:type="dcterms:W3CDTF">2020-11-30T09:08:54Z</dcterms:modified>
  <cp:category/>
  <cp:version/>
  <cp:contentType/>
  <cp:contentStatus/>
</cp:coreProperties>
</file>